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7488" windowHeight="4140" activeTab="4"/>
  </bookViews>
  <sheets>
    <sheet name="2009" sheetId="4" r:id="rId1"/>
    <sheet name="2010" sheetId="8" r:id="rId2"/>
    <sheet name="2011" sheetId="9" r:id="rId3"/>
    <sheet name="2012" sheetId="10" r:id="rId4"/>
    <sheet name="2013" sheetId="11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I31" i="11" l="1"/>
  <c r="N20" i="11"/>
  <c r="E57" i="11" s="1"/>
  <c r="N21" i="11"/>
  <c r="E58" i="11" s="1"/>
  <c r="N22" i="11"/>
  <c r="E59" i="11" s="1"/>
  <c r="N23" i="11"/>
  <c r="E60" i="11" s="1"/>
  <c r="N24" i="11"/>
  <c r="E61" i="11" s="1"/>
  <c r="N25" i="11"/>
  <c r="E62" i="11" s="1"/>
  <c r="N26" i="11"/>
  <c r="E63" i="11" s="1"/>
  <c r="N27" i="11"/>
  <c r="E64" i="11" s="1"/>
  <c r="N28" i="11"/>
  <c r="E65" i="11" s="1"/>
  <c r="N29" i="11"/>
  <c r="E66" i="11" s="1"/>
  <c r="M20" i="11"/>
  <c r="D57" i="11" s="1"/>
  <c r="M21" i="11"/>
  <c r="D58" i="11" s="1"/>
  <c r="M22" i="11"/>
  <c r="D59" i="11" s="1"/>
  <c r="M23" i="11"/>
  <c r="D60" i="11" s="1"/>
  <c r="M24" i="11"/>
  <c r="D61" i="11" s="1"/>
  <c r="M25" i="11"/>
  <c r="D62" i="11" s="1"/>
  <c r="M26" i="11"/>
  <c r="D63" i="11" s="1"/>
  <c r="M27" i="11"/>
  <c r="D64" i="11" s="1"/>
  <c r="M28" i="11"/>
  <c r="D65" i="11" s="1"/>
  <c r="M29" i="11"/>
  <c r="D66" i="11" s="1"/>
  <c r="M18" i="11"/>
  <c r="D55" i="11" s="1"/>
  <c r="L19" i="11"/>
  <c r="L20" i="11"/>
  <c r="O20" i="11" s="1"/>
  <c r="L21" i="11"/>
  <c r="O21" i="11" s="1"/>
  <c r="L22" i="11"/>
  <c r="O22" i="11" s="1"/>
  <c r="L23" i="11"/>
  <c r="O23" i="11" s="1"/>
  <c r="L24" i="11"/>
  <c r="O24" i="11" s="1"/>
  <c r="L25" i="11"/>
  <c r="O25" i="11" s="1"/>
  <c r="L26" i="11"/>
  <c r="O26" i="11" s="1"/>
  <c r="L27" i="11"/>
  <c r="O27" i="11" s="1"/>
  <c r="L28" i="11"/>
  <c r="L29" i="11"/>
  <c r="O29" i="11" s="1"/>
  <c r="L18" i="11"/>
  <c r="K31" i="11"/>
  <c r="N19" i="11"/>
  <c r="E56" i="11" s="1"/>
  <c r="F99" i="11"/>
  <c r="F97" i="11"/>
  <c r="F98" i="11"/>
  <c r="F100" i="11"/>
  <c r="F101" i="11"/>
  <c r="F102" i="11"/>
  <c r="F105" i="11"/>
  <c r="F103" i="11"/>
  <c r="F104" i="11"/>
  <c r="M19" i="11"/>
  <c r="D56" i="11" s="1"/>
  <c r="F95" i="11" l="1"/>
  <c r="G95" i="11" s="1"/>
  <c r="O19" i="11"/>
  <c r="F94" i="11"/>
  <c r="O18" i="11"/>
  <c r="N18" i="11"/>
  <c r="E55" i="11" s="1"/>
  <c r="E68" i="11" s="1"/>
  <c r="O28" i="11"/>
  <c r="C65" i="11"/>
  <c r="F65" i="11" s="1"/>
  <c r="C61" i="11"/>
  <c r="F61" i="11" s="1"/>
  <c r="C57" i="11"/>
  <c r="F57" i="11" s="1"/>
  <c r="C55" i="11"/>
  <c r="F55" i="11" s="1"/>
  <c r="C63" i="11"/>
  <c r="F63" i="11" s="1"/>
  <c r="C59" i="11"/>
  <c r="F59" i="11" s="1"/>
  <c r="D68" i="11"/>
  <c r="C66" i="11"/>
  <c r="F66" i="11" s="1"/>
  <c r="C64" i="11"/>
  <c r="F64" i="11" s="1"/>
  <c r="C62" i="11"/>
  <c r="F62" i="11" s="1"/>
  <c r="C60" i="11"/>
  <c r="F60" i="11" s="1"/>
  <c r="C58" i="11"/>
  <c r="F58" i="11" s="1"/>
  <c r="C56" i="11"/>
  <c r="M31" i="11"/>
  <c r="G105" i="11"/>
  <c r="K105" i="11" s="1"/>
  <c r="G104" i="11"/>
  <c r="K104" i="11" s="1"/>
  <c r="E95" i="11"/>
  <c r="E96" i="11"/>
  <c r="E97" i="11"/>
  <c r="E98" i="11"/>
  <c r="E99" i="11"/>
  <c r="E100" i="11"/>
  <c r="E101" i="11"/>
  <c r="E102" i="11"/>
  <c r="E103" i="11"/>
  <c r="E94" i="11"/>
  <c r="D95" i="11"/>
  <c r="D96" i="11"/>
  <c r="D97" i="11"/>
  <c r="D98" i="11"/>
  <c r="D99" i="11"/>
  <c r="G99" i="11" s="1"/>
  <c r="D100" i="11"/>
  <c r="G100" i="11" s="1"/>
  <c r="D101" i="11"/>
  <c r="D102" i="11"/>
  <c r="D103" i="11"/>
  <c r="D94" i="11"/>
  <c r="D107" i="11" s="1"/>
  <c r="C95" i="11"/>
  <c r="C96" i="11"/>
  <c r="C97" i="11"/>
  <c r="C98" i="11"/>
  <c r="G98" i="11" s="1"/>
  <c r="K98" i="11" s="1"/>
  <c r="C99" i="11"/>
  <c r="C100" i="11"/>
  <c r="C101" i="11"/>
  <c r="C102" i="11"/>
  <c r="G102" i="11" s="1"/>
  <c r="K102" i="11" s="1"/>
  <c r="C103" i="11"/>
  <c r="C94" i="11"/>
  <c r="G97" i="11"/>
  <c r="G103" i="11"/>
  <c r="K103" i="11" s="1"/>
  <c r="J31" i="11"/>
  <c r="H31" i="11"/>
  <c r="G31" i="11"/>
  <c r="F31" i="11"/>
  <c r="E31" i="11"/>
  <c r="D31" i="11"/>
  <c r="C31" i="11"/>
  <c r="O30" i="11"/>
  <c r="C34" i="10"/>
  <c r="N33" i="10"/>
  <c r="N34" i="10" s="1"/>
  <c r="M33" i="10"/>
  <c r="L33" i="10"/>
  <c r="K33" i="10"/>
  <c r="J33" i="10"/>
  <c r="I33" i="10"/>
  <c r="H33" i="10"/>
  <c r="G33" i="10"/>
  <c r="F33" i="10"/>
  <c r="D33" i="10"/>
  <c r="O32" i="10"/>
  <c r="I31" i="10"/>
  <c r="H31" i="10"/>
  <c r="G31" i="10"/>
  <c r="F31" i="10"/>
  <c r="E31" i="10"/>
  <c r="O30" i="10"/>
  <c r="M29" i="10"/>
  <c r="O29" i="10" s="1"/>
  <c r="F28" i="10"/>
  <c r="O28" i="10" s="1"/>
  <c r="O27" i="10"/>
  <c r="O26" i="10"/>
  <c r="O25" i="10"/>
  <c r="K24" i="10"/>
  <c r="G24" i="10"/>
  <c r="F24" i="10"/>
  <c r="E24" i="10"/>
  <c r="D24" i="10"/>
  <c r="O23" i="10"/>
  <c r="J22" i="10"/>
  <c r="H22" i="10"/>
  <c r="F22" i="10"/>
  <c r="D22" i="10"/>
  <c r="I21" i="10"/>
  <c r="H21" i="10"/>
  <c r="O20" i="10"/>
  <c r="I19" i="10"/>
  <c r="H19" i="10"/>
  <c r="G19" i="10"/>
  <c r="E19" i="10"/>
  <c r="D19" i="10"/>
  <c r="O18" i="10"/>
  <c r="I17" i="10"/>
  <c r="H17" i="10"/>
  <c r="G17" i="10"/>
  <c r="F17" i="10"/>
  <c r="E17" i="10"/>
  <c r="D17" i="10"/>
  <c r="M16" i="10"/>
  <c r="L16" i="10"/>
  <c r="L34" i="10" s="1"/>
  <c r="K16" i="10"/>
  <c r="J16" i="10"/>
  <c r="I16" i="10"/>
  <c r="H16" i="10"/>
  <c r="G16" i="10"/>
  <c r="G34" i="10" s="1"/>
  <c r="F16" i="10"/>
  <c r="E16" i="10"/>
  <c r="C34" i="9"/>
  <c r="N33" i="9"/>
  <c r="M33" i="9"/>
  <c r="K33" i="9"/>
  <c r="J33" i="9"/>
  <c r="I33" i="9"/>
  <c r="H33" i="9"/>
  <c r="G33" i="9"/>
  <c r="F33" i="9"/>
  <c r="E33" i="9"/>
  <c r="D33" i="9"/>
  <c r="O32" i="9"/>
  <c r="O31" i="9"/>
  <c r="O30" i="9"/>
  <c r="M29" i="9"/>
  <c r="O29" i="9" s="1"/>
  <c r="O28" i="9"/>
  <c r="O27" i="9"/>
  <c r="O26" i="9"/>
  <c r="O25" i="9"/>
  <c r="H24" i="9"/>
  <c r="F24" i="9"/>
  <c r="E24" i="9"/>
  <c r="D24" i="9"/>
  <c r="O23" i="9"/>
  <c r="D22" i="9"/>
  <c r="O22" i="9" s="1"/>
  <c r="I21" i="9"/>
  <c r="H21" i="9"/>
  <c r="D21" i="9"/>
  <c r="J20" i="9"/>
  <c r="I20" i="9"/>
  <c r="N19" i="9"/>
  <c r="M19" i="9"/>
  <c r="L19" i="9"/>
  <c r="K19" i="9"/>
  <c r="I19" i="9"/>
  <c r="H19" i="9"/>
  <c r="G19" i="9"/>
  <c r="E19" i="9"/>
  <c r="D19" i="9"/>
  <c r="O18" i="9"/>
  <c r="N17" i="9"/>
  <c r="M17" i="9"/>
  <c r="L17" i="9"/>
  <c r="K17" i="9"/>
  <c r="J17" i="9"/>
  <c r="I17" i="9"/>
  <c r="H17" i="9"/>
  <c r="G17" i="9"/>
  <c r="F17" i="9"/>
  <c r="E17" i="9"/>
  <c r="D17" i="9"/>
  <c r="N16" i="9"/>
  <c r="M16" i="9"/>
  <c r="K16" i="9"/>
  <c r="K34" i="9" s="1"/>
  <c r="J16" i="9"/>
  <c r="I16" i="9"/>
  <c r="H16" i="9"/>
  <c r="H34" i="9" s="1"/>
  <c r="G16" i="9"/>
  <c r="G34" i="9" s="1"/>
  <c r="F16" i="9"/>
  <c r="E16" i="9"/>
  <c r="D16" i="9"/>
  <c r="D34" i="9" s="1"/>
  <c r="G33" i="8"/>
  <c r="O32" i="8"/>
  <c r="O31" i="8"/>
  <c r="F30" i="8"/>
  <c r="O30" i="8" s="1"/>
  <c r="O29" i="8"/>
  <c r="M28" i="8"/>
  <c r="D28" i="8"/>
  <c r="E27" i="8"/>
  <c r="D27" i="8"/>
  <c r="C27" i="8"/>
  <c r="E26" i="8"/>
  <c r="D26" i="8"/>
  <c r="C26" i="8"/>
  <c r="C25" i="8"/>
  <c r="O25" i="8" s="1"/>
  <c r="E24" i="8"/>
  <c r="O24" i="8" s="1"/>
  <c r="D23" i="8"/>
  <c r="O23" i="8" s="1"/>
  <c r="C22" i="8"/>
  <c r="O22" i="8" s="1"/>
  <c r="J21" i="8"/>
  <c r="F21" i="8"/>
  <c r="H20" i="8"/>
  <c r="H33" i="8" s="1"/>
  <c r="F19" i="8"/>
  <c r="E19" i="8"/>
  <c r="D19" i="8"/>
  <c r="C19" i="8"/>
  <c r="N18" i="8"/>
  <c r="M18" i="8"/>
  <c r="L18" i="8"/>
  <c r="K18" i="8"/>
  <c r="J18" i="8"/>
  <c r="I18" i="8"/>
  <c r="E18" i="8"/>
  <c r="D18" i="8"/>
  <c r="C18" i="8"/>
  <c r="C17" i="8"/>
  <c r="O17" i="8" s="1"/>
  <c r="N16" i="8"/>
  <c r="M16" i="8"/>
  <c r="L16" i="8"/>
  <c r="L33" i="8" s="1"/>
  <c r="K16" i="8"/>
  <c r="J16" i="8"/>
  <c r="I16" i="8"/>
  <c r="F16" i="8"/>
  <c r="E16" i="8"/>
  <c r="D16" i="8"/>
  <c r="C16" i="8"/>
  <c r="N15" i="8"/>
  <c r="N33" i="8" s="1"/>
  <c r="M15" i="8"/>
  <c r="K15" i="8"/>
  <c r="J15" i="8"/>
  <c r="I15" i="8"/>
  <c r="F15" i="8"/>
  <c r="E15" i="8"/>
  <c r="D15" i="8"/>
  <c r="C15" i="8"/>
  <c r="C198" i="4"/>
  <c r="N198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D198" i="4"/>
  <c r="M198" i="4"/>
  <c r="L198" i="4"/>
  <c r="K198" i="4"/>
  <c r="J198" i="4"/>
  <c r="I198" i="4"/>
  <c r="H198" i="4"/>
  <c r="G198" i="4"/>
  <c r="F198" i="4"/>
  <c r="O99" i="4"/>
  <c r="O104" i="4"/>
  <c r="O106" i="4"/>
  <c r="O107" i="4"/>
  <c r="O108" i="4"/>
  <c r="O109" i="4"/>
  <c r="O111" i="4"/>
  <c r="O112" i="4"/>
  <c r="O113" i="4"/>
  <c r="O140" i="4"/>
  <c r="O142" i="4"/>
  <c r="O145" i="4"/>
  <c r="O147" i="4"/>
  <c r="O148" i="4"/>
  <c r="O149" i="4"/>
  <c r="O152" i="4"/>
  <c r="O154" i="4"/>
  <c r="N155" i="4"/>
  <c r="N156" i="4" s="1"/>
  <c r="M155" i="4"/>
  <c r="L155" i="4"/>
  <c r="K155" i="4"/>
  <c r="J155" i="4"/>
  <c r="I155" i="4"/>
  <c r="I153" i="4"/>
  <c r="M151" i="4"/>
  <c r="O151" i="4" s="1"/>
  <c r="K146" i="4"/>
  <c r="J144" i="4"/>
  <c r="I143" i="4"/>
  <c r="I141" i="4"/>
  <c r="I139" i="4"/>
  <c r="M138" i="4"/>
  <c r="M156" i="4" s="1"/>
  <c r="L138" i="4"/>
  <c r="L156" i="4" s="1"/>
  <c r="K138" i="4"/>
  <c r="J138" i="4"/>
  <c r="I138" i="4"/>
  <c r="N114" i="4"/>
  <c r="M114" i="4"/>
  <c r="K114" i="4"/>
  <c r="J114" i="4"/>
  <c r="I114" i="4"/>
  <c r="M110" i="4"/>
  <c r="O110" i="4" s="1"/>
  <c r="I102" i="4"/>
  <c r="J101" i="4"/>
  <c r="I101" i="4"/>
  <c r="N100" i="4"/>
  <c r="M100" i="4"/>
  <c r="L100" i="4"/>
  <c r="K100" i="4"/>
  <c r="I100" i="4"/>
  <c r="N98" i="4"/>
  <c r="M98" i="4"/>
  <c r="L98" i="4"/>
  <c r="K98" i="4"/>
  <c r="J98" i="4"/>
  <c r="I98" i="4"/>
  <c r="N97" i="4"/>
  <c r="M97" i="4"/>
  <c r="K97" i="4"/>
  <c r="J97" i="4"/>
  <c r="I97" i="4"/>
  <c r="O21" i="4"/>
  <c r="O27" i="4"/>
  <c r="O28" i="4"/>
  <c r="O31" i="4"/>
  <c r="O32" i="4"/>
  <c r="O33" i="4"/>
  <c r="O34" i="4"/>
  <c r="O70" i="4"/>
  <c r="O72" i="4"/>
  <c r="O73" i="4"/>
  <c r="M69" i="4"/>
  <c r="J62" i="4"/>
  <c r="N59" i="4"/>
  <c r="M59" i="4"/>
  <c r="L59" i="4"/>
  <c r="K59" i="4"/>
  <c r="J59" i="4"/>
  <c r="I59" i="4"/>
  <c r="N57" i="4"/>
  <c r="M57" i="4"/>
  <c r="L57" i="4"/>
  <c r="K57" i="4"/>
  <c r="J57" i="4"/>
  <c r="I57" i="4"/>
  <c r="N56" i="4"/>
  <c r="M56" i="4"/>
  <c r="K56" i="4"/>
  <c r="J56" i="4"/>
  <c r="I56" i="4"/>
  <c r="N30" i="4"/>
  <c r="M30" i="4"/>
  <c r="M29" i="4"/>
  <c r="O29" i="4" s="1"/>
  <c r="N24" i="4"/>
  <c r="M24" i="4"/>
  <c r="L24" i="4"/>
  <c r="K24" i="4"/>
  <c r="J24" i="4"/>
  <c r="M23" i="4"/>
  <c r="N22" i="4"/>
  <c r="L19" i="4"/>
  <c r="N18" i="4"/>
  <c r="M18" i="4"/>
  <c r="L18" i="4"/>
  <c r="K18" i="4"/>
  <c r="J18" i="4"/>
  <c r="I18" i="4"/>
  <c r="N17" i="4"/>
  <c r="M17" i="4"/>
  <c r="N16" i="4"/>
  <c r="M16" i="4"/>
  <c r="L16" i="4"/>
  <c r="K16" i="4"/>
  <c r="J16" i="4"/>
  <c r="J35" i="4" s="1"/>
  <c r="I16" i="4"/>
  <c r="N15" i="4"/>
  <c r="M15" i="4"/>
  <c r="L15" i="4"/>
  <c r="K15" i="4"/>
  <c r="K35" i="4" s="1"/>
  <c r="I15" i="4"/>
  <c r="C156" i="4"/>
  <c r="H155" i="4"/>
  <c r="G155" i="4"/>
  <c r="F155" i="4"/>
  <c r="D155" i="4"/>
  <c r="H153" i="4"/>
  <c r="G153" i="4"/>
  <c r="F153" i="4"/>
  <c r="E153" i="4"/>
  <c r="F150" i="4"/>
  <c r="O150" i="4" s="1"/>
  <c r="G146" i="4"/>
  <c r="F146" i="4"/>
  <c r="E146" i="4"/>
  <c r="D146" i="4"/>
  <c r="H144" i="4"/>
  <c r="F144" i="4"/>
  <c r="D144" i="4"/>
  <c r="H143" i="4"/>
  <c r="H141" i="4"/>
  <c r="G141" i="4"/>
  <c r="E141" i="4"/>
  <c r="D141" i="4"/>
  <c r="H139" i="4"/>
  <c r="G139" i="4"/>
  <c r="F139" i="4"/>
  <c r="E139" i="4"/>
  <c r="D139" i="4"/>
  <c r="H138" i="4"/>
  <c r="G138" i="4"/>
  <c r="F138" i="4"/>
  <c r="E138" i="4"/>
  <c r="C115" i="4"/>
  <c r="H114" i="4"/>
  <c r="G114" i="4"/>
  <c r="F114" i="4"/>
  <c r="E114" i="4"/>
  <c r="D114" i="4"/>
  <c r="H105" i="4"/>
  <c r="F105" i="4"/>
  <c r="E105" i="4"/>
  <c r="D105" i="4"/>
  <c r="D103" i="4"/>
  <c r="O103" i="4" s="1"/>
  <c r="H102" i="4"/>
  <c r="D102" i="4"/>
  <c r="H100" i="4"/>
  <c r="G100" i="4"/>
  <c r="E100" i="4"/>
  <c r="D100" i="4"/>
  <c r="H98" i="4"/>
  <c r="G98" i="4"/>
  <c r="F98" i="4"/>
  <c r="E98" i="4"/>
  <c r="D98" i="4"/>
  <c r="H97" i="4"/>
  <c r="G97" i="4"/>
  <c r="F97" i="4"/>
  <c r="E97" i="4"/>
  <c r="D97" i="4"/>
  <c r="G74" i="4"/>
  <c r="F71" i="4"/>
  <c r="O71" i="4" s="1"/>
  <c r="D69" i="4"/>
  <c r="E68" i="4"/>
  <c r="D68" i="4"/>
  <c r="C68" i="4"/>
  <c r="E67" i="4"/>
  <c r="D67" i="4"/>
  <c r="C67" i="4"/>
  <c r="C66" i="4"/>
  <c r="O66" i="4" s="1"/>
  <c r="E65" i="4"/>
  <c r="O65" i="4" s="1"/>
  <c r="D64" i="4"/>
  <c r="O64" i="4" s="1"/>
  <c r="C63" i="4"/>
  <c r="O63" i="4" s="1"/>
  <c r="F62" i="4"/>
  <c r="O62" i="4" s="1"/>
  <c r="H61" i="4"/>
  <c r="O61" i="4" s="1"/>
  <c r="F60" i="4"/>
  <c r="E60" i="4"/>
  <c r="D60" i="4"/>
  <c r="C60" i="4"/>
  <c r="E59" i="4"/>
  <c r="D59" i="4"/>
  <c r="C59" i="4"/>
  <c r="C58" i="4"/>
  <c r="O58" i="4" s="1"/>
  <c r="F57" i="4"/>
  <c r="E57" i="4"/>
  <c r="D57" i="4"/>
  <c r="C57" i="4"/>
  <c r="F56" i="4"/>
  <c r="E56" i="4"/>
  <c r="D56" i="4"/>
  <c r="C56" i="4"/>
  <c r="C35" i="4"/>
  <c r="G30" i="4"/>
  <c r="H26" i="4"/>
  <c r="O26" i="4" s="1"/>
  <c r="G25" i="4"/>
  <c r="F25" i="4"/>
  <c r="E25" i="4"/>
  <c r="E23" i="4"/>
  <c r="D23" i="4"/>
  <c r="H22" i="4"/>
  <c r="G22" i="4"/>
  <c r="G20" i="4"/>
  <c r="F20" i="4"/>
  <c r="H19" i="4"/>
  <c r="G19" i="4"/>
  <c r="E19" i="4"/>
  <c r="H18" i="4"/>
  <c r="E18" i="4"/>
  <c r="H17" i="4"/>
  <c r="F17" i="4"/>
  <c r="E17" i="4"/>
  <c r="H16" i="4"/>
  <c r="G16" i="4"/>
  <c r="F16" i="4"/>
  <c r="E16" i="4"/>
  <c r="H15" i="4"/>
  <c r="G15" i="4"/>
  <c r="F15" i="4"/>
  <c r="E15" i="4"/>
  <c r="D15" i="4"/>
  <c r="N31" i="11" l="1"/>
  <c r="O138" i="4"/>
  <c r="O16" i="8"/>
  <c r="O19" i="8"/>
  <c r="M34" i="9"/>
  <c r="H34" i="10"/>
  <c r="F74" i="4"/>
  <c r="N74" i="4"/>
  <c r="L74" i="4"/>
  <c r="E34" i="9"/>
  <c r="I34" i="9"/>
  <c r="M34" i="10"/>
  <c r="C107" i="11"/>
  <c r="E107" i="11"/>
  <c r="F96" i="11"/>
  <c r="F107" i="11" s="1"/>
  <c r="O15" i="8"/>
  <c r="J33" i="8"/>
  <c r="O56" i="4"/>
  <c r="O69" i="4"/>
  <c r="O105" i="4"/>
  <c r="O153" i="4"/>
  <c r="N115" i="4"/>
  <c r="L115" i="4"/>
  <c r="O101" i="4"/>
  <c r="F33" i="8"/>
  <c r="M33" i="8"/>
  <c r="O27" i="8"/>
  <c r="F34" i="9"/>
  <c r="J34" i="9"/>
  <c r="O17" i="9"/>
  <c r="L34" i="9"/>
  <c r="O19" i="9"/>
  <c r="O24" i="9"/>
  <c r="O33" i="9"/>
  <c r="F34" i="10"/>
  <c r="J34" i="10"/>
  <c r="D34" i="10"/>
  <c r="O24" i="10"/>
  <c r="O31" i="11"/>
  <c r="F56" i="11"/>
  <c r="F68" i="11" s="1"/>
  <c r="C68" i="11"/>
  <c r="K100" i="11"/>
  <c r="K95" i="11"/>
  <c r="K99" i="11"/>
  <c r="K97" i="11"/>
  <c r="L31" i="11"/>
  <c r="G94" i="11"/>
  <c r="G101" i="11"/>
  <c r="I34" i="10"/>
  <c r="K34" i="10"/>
  <c r="O19" i="10"/>
  <c r="O21" i="10"/>
  <c r="O22" i="10"/>
  <c r="O31" i="10"/>
  <c r="O17" i="10"/>
  <c r="E33" i="10"/>
  <c r="O33" i="10" s="1"/>
  <c r="O16" i="10"/>
  <c r="N34" i="9"/>
  <c r="O20" i="9"/>
  <c r="O21" i="9"/>
  <c r="O16" i="9"/>
  <c r="C33" i="8"/>
  <c r="E33" i="8"/>
  <c r="I33" i="8"/>
  <c r="K33" i="8"/>
  <c r="O18" i="8"/>
  <c r="O21" i="8"/>
  <c r="O26" i="8"/>
  <c r="O28" i="8"/>
  <c r="O20" i="8"/>
  <c r="O33" i="8" s="1"/>
  <c r="D33" i="8"/>
  <c r="O180" i="4"/>
  <c r="O181" i="4"/>
  <c r="O197" i="4"/>
  <c r="O97" i="4"/>
  <c r="O100" i="4"/>
  <c r="O102" i="4"/>
  <c r="O141" i="4"/>
  <c r="O143" i="4"/>
  <c r="O146" i="4"/>
  <c r="M115" i="4"/>
  <c r="K156" i="4"/>
  <c r="O98" i="4"/>
  <c r="O114" i="4"/>
  <c r="O139" i="4"/>
  <c r="O144" i="4"/>
  <c r="J156" i="4"/>
  <c r="I156" i="4"/>
  <c r="E35" i="4"/>
  <c r="G35" i="4"/>
  <c r="O16" i="4"/>
  <c r="O17" i="4"/>
  <c r="O20" i="4"/>
  <c r="O22" i="4"/>
  <c r="O23" i="4"/>
  <c r="O25" i="4"/>
  <c r="O30" i="4"/>
  <c r="C74" i="4"/>
  <c r="E74" i="4"/>
  <c r="O57" i="4"/>
  <c r="O60" i="4"/>
  <c r="O67" i="4"/>
  <c r="O24" i="4"/>
  <c r="I74" i="4"/>
  <c r="K74" i="4"/>
  <c r="J115" i="4"/>
  <c r="K115" i="4"/>
  <c r="I115" i="4"/>
  <c r="O15" i="4"/>
  <c r="O18" i="4"/>
  <c r="O19" i="4"/>
  <c r="O68" i="4"/>
  <c r="E115" i="4"/>
  <c r="G115" i="4"/>
  <c r="F156" i="4"/>
  <c r="M35" i="4"/>
  <c r="J74" i="4"/>
  <c r="M74" i="4"/>
  <c r="O59" i="4"/>
  <c r="D35" i="4"/>
  <c r="D74" i="4"/>
  <c r="D115" i="4"/>
  <c r="G156" i="4"/>
  <c r="D156" i="4"/>
  <c r="L35" i="4"/>
  <c r="N35" i="4"/>
  <c r="F35" i="4"/>
  <c r="H35" i="4"/>
  <c r="F115" i="4"/>
  <c r="H115" i="4"/>
  <c r="I35" i="4"/>
  <c r="H156" i="4"/>
  <c r="H74" i="4"/>
  <c r="E155" i="4"/>
  <c r="O155" i="4" s="1"/>
  <c r="O156" i="4" l="1"/>
  <c r="G96" i="11"/>
  <c r="K101" i="11"/>
  <c r="K94" i="11"/>
  <c r="G107" i="11"/>
  <c r="L108" i="11" s="1"/>
  <c r="E34" i="10"/>
  <c r="O34" i="10"/>
  <c r="O34" i="9"/>
  <c r="O198" i="4"/>
  <c r="E198" i="4"/>
  <c r="O35" i="4"/>
  <c r="O115" i="4"/>
  <c r="O74" i="4"/>
  <c r="E156" i="4"/>
  <c r="K96" i="11" l="1"/>
</calcChain>
</file>

<file path=xl/sharedStrings.xml><?xml version="1.0" encoding="utf-8"?>
<sst xmlns="http://schemas.openxmlformats.org/spreadsheetml/2006/main" count="720" uniqueCount="112">
  <si>
    <t>PIUC</t>
  </si>
  <si>
    <t xml:space="preserve"> </t>
  </si>
  <si>
    <t>(In Pesos)</t>
  </si>
  <si>
    <t>Department:</t>
  </si>
  <si>
    <t>Agency / OU:</t>
  </si>
  <si>
    <t xml:space="preserve">Fund: </t>
  </si>
  <si>
    <t>Benguet State University</t>
  </si>
  <si>
    <t>SUC</t>
  </si>
  <si>
    <t>Classification/ Sources of Income</t>
  </si>
  <si>
    <t>Tax: N / A</t>
  </si>
  <si>
    <t>Non-Tax:</t>
  </si>
  <si>
    <t>Other Service income</t>
  </si>
  <si>
    <t>Benguet Vegetable Processing Center (BVPC)</t>
  </si>
  <si>
    <t>CHET Canteen</t>
  </si>
  <si>
    <t>College of Nursing (CN-RLE)</t>
  </si>
  <si>
    <t>Early Childhood Development Center (ECDC)</t>
  </si>
  <si>
    <t>Extension Service</t>
  </si>
  <si>
    <t>College of Forestry</t>
  </si>
  <si>
    <t>Land Rental - Allied Botanical Corp.</t>
  </si>
  <si>
    <t>Open University</t>
  </si>
  <si>
    <t>Office of Student Affairs (OSA)</t>
  </si>
  <si>
    <t>Pomology</t>
  </si>
  <si>
    <t>Other SRET</t>
  </si>
  <si>
    <t>TOTAL</t>
  </si>
  <si>
    <t>Certified Correct:</t>
  </si>
  <si>
    <t>Chief Accountant</t>
  </si>
  <si>
    <t>date:</t>
  </si>
  <si>
    <t>CTE LET Review</t>
  </si>
  <si>
    <t>Mushroom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</si>
  <si>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</si>
  <si>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</si>
  <si>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</si>
  <si>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</si>
  <si>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</si>
  <si>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</si>
  <si>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</si>
  <si>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</si>
  <si>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</si>
  <si>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</si>
  <si>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</si>
  <si>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</si>
  <si>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</si>
  <si>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</si>
  <si>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</si>
  <si>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</si>
  <si>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</si>
  <si>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CTE Training Fee</t>
  </si>
  <si>
    <t>Organic Demo farm</t>
  </si>
  <si>
    <t>January</t>
  </si>
  <si>
    <t>Ferbruary</t>
  </si>
  <si>
    <t>March</t>
  </si>
  <si>
    <t>April</t>
  </si>
  <si>
    <t>May</t>
  </si>
  <si>
    <t>June</t>
  </si>
  <si>
    <t>18.</t>
  </si>
  <si>
    <t>CTE Summer Bridge Program</t>
  </si>
  <si>
    <t>IHFA</t>
  </si>
  <si>
    <t>Approved:</t>
  </si>
  <si>
    <t>President</t>
  </si>
  <si>
    <t>NPRCRTC</t>
  </si>
  <si>
    <t>CN Enhancement Review (Nursing)</t>
  </si>
  <si>
    <t>19.</t>
  </si>
  <si>
    <t>20.</t>
  </si>
  <si>
    <t>Scholarship &amp; Other Trust Fund (Trust Fund 911)</t>
  </si>
  <si>
    <t>IMELDA B. GALINATO</t>
  </si>
  <si>
    <t>BEN D. LADILAD</t>
  </si>
  <si>
    <t>July</t>
  </si>
  <si>
    <t>August</t>
  </si>
  <si>
    <t>September</t>
  </si>
  <si>
    <t>October</t>
  </si>
  <si>
    <t>November</t>
  </si>
  <si>
    <t>December</t>
  </si>
  <si>
    <t>Library Services</t>
  </si>
  <si>
    <t>Multi-Vegetable Project</t>
  </si>
  <si>
    <t>College of Agriculture IGPs</t>
  </si>
  <si>
    <t>CHET RLE</t>
  </si>
  <si>
    <t>CHET TOGA</t>
  </si>
  <si>
    <t>AILA</t>
  </si>
  <si>
    <t>OSA Testing Fees</t>
  </si>
  <si>
    <t>CTE Training Fee/Special Class</t>
  </si>
  <si>
    <t xml:space="preserve"> REPORT OF ACTUAL INCOME COLLECTED</t>
  </si>
  <si>
    <t>PCGA (Guidance Councilors)</t>
  </si>
  <si>
    <t>CAS IGPs</t>
  </si>
  <si>
    <t>CHET BSND Review</t>
  </si>
  <si>
    <t>Growers' Compost</t>
  </si>
  <si>
    <t>January 1 to December 31, 2009</t>
  </si>
  <si>
    <t>January 1 to December 31, 2010</t>
  </si>
  <si>
    <t>January 1 to December 31, 2011</t>
  </si>
  <si>
    <t>January 1 to December 31, 2012</t>
  </si>
  <si>
    <t>Institute of Highland Farming and Agroforestry (IHFA)</t>
  </si>
  <si>
    <t>Northern Phils. Root Crops Research and Training Center (NPRCRTC)</t>
  </si>
  <si>
    <t>Cordillera Organic Agriculture Development Center (COADC)</t>
  </si>
  <si>
    <t>Extension and Training Services</t>
  </si>
  <si>
    <t>Mushroom Production</t>
  </si>
  <si>
    <t>Pomology Project</t>
  </si>
  <si>
    <t>Strawberry Runner Production</t>
  </si>
  <si>
    <t>Multi-Crop and Strawberry Project</t>
  </si>
  <si>
    <t>January 1 to September 31, 2013</t>
  </si>
  <si>
    <t>Income Generating Projects</t>
  </si>
  <si>
    <t>Institute of Highland Farming and Agroforestry (IHFSA)</t>
  </si>
  <si>
    <t>Northern Phils. Root Crops Research &amp; Training Center (NPRCRTC)</t>
  </si>
  <si>
    <t>1st Quarter</t>
  </si>
  <si>
    <t>2nd Quarter</t>
  </si>
  <si>
    <t>3rd Quarter</t>
  </si>
  <si>
    <t>Horticulture</t>
  </si>
  <si>
    <t>4th Quarter</t>
  </si>
  <si>
    <t>January 1 to December 31, 2013</t>
  </si>
  <si>
    <t>Income Generating Projects (TF-911)</t>
  </si>
  <si>
    <t>OCTOBER</t>
  </si>
  <si>
    <t>NOVEMBER</t>
  </si>
  <si>
    <t>DECEMBER</t>
  </si>
  <si>
    <t>for the 4th Quarter - 2013 (October 1 to December 31,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</si>
</sst>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indexed="8"/>
      <name val="MS Sans Serif"/>
    </font>
    <font>
      <b/>
      <sz val="11.05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43" fontId="2" fillId="0" borderId="11" xfId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43" fontId="2" fillId="0" borderId="13" xfId="1" applyFont="1" applyFill="1" applyBorder="1" applyAlignment="1" applyProtection="1"/>
    <xf numFmtId="43" fontId="2" fillId="0" borderId="6" xfId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43" fontId="2" fillId="0" borderId="12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43" fontId="2" fillId="0" borderId="13" xfId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/>
    </xf>
    <xf numFmtId="43" fontId="3" fillId="0" borderId="13" xfId="1" applyFont="1" applyFill="1" applyBorder="1" applyAlignment="1" applyProtection="1"/>
    <xf numFmtId="0" fontId="0" fillId="0" borderId="13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43" fontId="3" fillId="0" borderId="4" xfId="1" applyFont="1" applyFill="1" applyBorder="1" applyAlignment="1" applyProtection="1"/>
    <xf numFmtId="43" fontId="3" fillId="0" borderId="1" xfId="1" applyFont="1" applyFill="1" applyBorder="1" applyAlignment="1" applyProtection="1"/>
    <xf numFmtId="43" fontId="3" fillId="0" borderId="2" xfId="1" applyFont="1" applyFill="1" applyBorder="1" applyAlignment="1" applyProtection="1"/>
    <xf numFmtId="43" fontId="3" fillId="0" borderId="9" xfId="1" applyFont="1" applyFill="1" applyBorder="1" applyAlignment="1" applyProtection="1"/>
    <xf numFmtId="49" fontId="3" fillId="0" borderId="14" xfId="0" applyNumberFormat="1" applyFont="1" applyFill="1" applyBorder="1" applyAlignment="1" applyProtection="1">
      <alignment horizontal="center"/>
    </xf>
    <xf numFmtId="43" fontId="3" fillId="0" borderId="11" xfId="1" applyFont="1" applyFill="1" applyBorder="1" applyAlignment="1" applyProtection="1"/>
    <xf numFmtId="43" fontId="3" fillId="0" borderId="6" xfId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43" fontId="3" fillId="0" borderId="14" xfId="1" applyFont="1" applyFill="1" applyBorder="1" applyAlignment="1" applyProtection="1"/>
    <xf numFmtId="43" fontId="3" fillId="0" borderId="15" xfId="1" applyFont="1" applyFill="1" applyBorder="1" applyAlignment="1" applyProtection="1"/>
    <xf numFmtId="43" fontId="2" fillId="0" borderId="5" xfId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43" fontId="3" fillId="0" borderId="0" xfId="1" applyFont="1" applyFill="1" applyBorder="1" applyAlignment="1" applyProtection="1"/>
    <xf numFmtId="49" fontId="2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2" fillId="0" borderId="13" xfId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43" fontId="4" fillId="0" borderId="11" xfId="1" applyFont="1" applyFill="1" applyBorder="1" applyAlignment="1" applyProtection="1"/>
    <xf numFmtId="43" fontId="5" fillId="0" borderId="11" xfId="1" applyFont="1" applyFill="1" applyBorder="1" applyAlignment="1" applyProtection="1"/>
    <xf numFmtId="0" fontId="0" fillId="0" borderId="15" xfId="0" applyNumberFormat="1" applyFill="1" applyBorder="1" applyAlignment="1" applyProtection="1"/>
    <xf numFmtId="43" fontId="3" fillId="0" borderId="7" xfId="1" applyFont="1" applyFill="1" applyBorder="1" applyAlignment="1" applyProtection="1"/>
    <xf numFmtId="43" fontId="5" fillId="0" borderId="17" xfId="1" applyFont="1" applyFill="1" applyBorder="1" applyAlignment="1" applyProtection="1"/>
    <xf numFmtId="43" fontId="5" fillId="0" borderId="16" xfId="1" applyFont="1" applyFill="1" applyBorder="1" applyAlignment="1" applyProtection="1"/>
    <xf numFmtId="43" fontId="5" fillId="0" borderId="18" xfId="1" applyFont="1" applyFill="1" applyBorder="1" applyAlignment="1" applyProtection="1"/>
    <xf numFmtId="0" fontId="2" fillId="0" borderId="15" xfId="0" applyNumberFormat="1" applyFont="1" applyFill="1" applyBorder="1" applyAlignment="1" applyProtection="1">
      <alignment horizontal="center"/>
    </xf>
    <xf numFmtId="43" fontId="0" fillId="0" borderId="0" xfId="0" applyNumberFormat="1" applyFill="1" applyBorder="1" applyAlignment="1" applyProtection="1"/>
    <xf numFmtId="0" fontId="3" fillId="0" borderId="8" xfId="0" applyNumberFormat="1" applyFont="1" applyFill="1" applyBorder="1" applyAlignment="1" applyProtection="1"/>
    <xf numFmtId="43" fontId="2" fillId="0" borderId="6" xfId="0" applyNumberFormat="1" applyFont="1" applyFill="1" applyBorder="1" applyAlignment="1" applyProtection="1"/>
    <xf numFmtId="43" fontId="2" fillId="0" borderId="11" xfId="0" applyNumberFormat="1" applyFont="1" applyFill="1" applyBorder="1" applyAlignment="1" applyProtection="1"/>
    <xf numFmtId="43" fontId="3" fillId="0" borderId="16" xfId="0" applyNumberFormat="1" applyFont="1" applyFill="1" applyBorder="1" applyAlignment="1" applyProtection="1"/>
    <xf numFmtId="43" fontId="3" fillId="0" borderId="18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/>
    <xf numFmtId="43" fontId="2" fillId="0" borderId="8" xfId="1" applyFont="1" applyFill="1" applyBorder="1" applyAlignment="1" applyProtection="1"/>
    <xf numFmtId="0" fontId="4" fillId="0" borderId="15" xfId="0" applyNumberFormat="1" applyFont="1" applyFill="1" applyBorder="1" applyAlignment="1" applyProtection="1">
      <alignment horizontal="center"/>
    </xf>
    <xf numFmtId="43" fontId="4" fillId="0" borderId="4" xfId="1" applyFont="1" applyFill="1" applyBorder="1" applyAlignment="1" applyProtection="1"/>
    <xf numFmtId="43" fontId="4" fillId="0" borderId="6" xfId="1" applyFont="1" applyFill="1" applyBorder="1" applyAlignment="1" applyProtection="1"/>
    <xf numFmtId="43" fontId="4" fillId="0" borderId="8" xfId="1" applyFont="1" applyFill="1" applyBorder="1" applyAlignment="1" applyProtection="1"/>
    <xf numFmtId="43" fontId="4" fillId="0" borderId="5" xfId="1" applyFont="1" applyFill="1" applyBorder="1" applyAlignment="1" applyProtection="1"/>
    <xf numFmtId="43" fontId="5" fillId="0" borderId="1" xfId="1" applyFont="1" applyFill="1" applyBorder="1" applyAlignment="1" applyProtection="1"/>
    <xf numFmtId="43" fontId="5" fillId="0" borderId="2" xfId="1" applyFont="1" applyFill="1" applyBorder="1" applyAlignment="1" applyProtection="1"/>
    <xf numFmtId="43" fontId="5" fillId="0" borderId="15" xfId="1" applyFont="1" applyFill="1" applyBorder="1" applyAlignment="1" applyProtection="1"/>
    <xf numFmtId="43" fontId="3" fillId="0" borderId="19" xfId="0" applyNumberFormat="1" applyFont="1" applyFill="1" applyBorder="1" applyAlignment="1" applyProtection="1"/>
    <xf numFmtId="43" fontId="2" fillId="0" borderId="15" xfId="1" applyFont="1" applyFill="1" applyBorder="1" applyAlignment="1" applyProtection="1"/>
    <xf numFmtId="43" fontId="2" fillId="0" borderId="13" xfId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43" fontId="2" fillId="0" borderId="12" xfId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>
      <alignment horizontal="center"/>
    </xf>
    <xf numFmtId="43" fontId="2" fillId="0" borderId="8" xfId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/AppData/Local/Temp/Temp1_Attachments_2014210%20(1).zip/FILES/other%20ser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F3">
            <v>70762.5</v>
          </cell>
        </row>
        <row r="4">
          <cell r="F4">
            <v>56317</v>
          </cell>
        </row>
        <row r="5">
          <cell r="F5">
            <v>17535</v>
          </cell>
        </row>
        <row r="6">
          <cell r="F6">
            <v>48955</v>
          </cell>
        </row>
        <row r="7">
          <cell r="F7">
            <v>15419</v>
          </cell>
        </row>
        <row r="8">
          <cell r="F8">
            <v>12320</v>
          </cell>
        </row>
        <row r="9">
          <cell r="F9">
            <v>52745</v>
          </cell>
        </row>
        <row r="10">
          <cell r="F10">
            <v>1400000</v>
          </cell>
        </row>
        <row r="11">
          <cell r="F11">
            <v>18420</v>
          </cell>
        </row>
        <row r="12">
          <cell r="F12">
            <v>28277.119999999999</v>
          </cell>
        </row>
        <row r="13">
          <cell r="F13">
            <v>10665.5</v>
          </cell>
        </row>
        <row r="14">
          <cell r="F14">
            <v>56152.5</v>
          </cell>
        </row>
        <row r="15">
          <cell r="F15">
            <v>18162</v>
          </cell>
        </row>
        <row r="16">
          <cell r="F16">
            <v>36307</v>
          </cell>
        </row>
        <row r="17">
          <cell r="F17">
            <v>43584.5</v>
          </cell>
        </row>
        <row r="18">
          <cell r="F18">
            <v>41881</v>
          </cell>
        </row>
        <row r="19">
          <cell r="F19">
            <v>27561</v>
          </cell>
        </row>
        <row r="20">
          <cell r="F20">
            <v>108467</v>
          </cell>
        </row>
        <row r="21">
          <cell r="F21">
            <v>55841</v>
          </cell>
        </row>
        <row r="22">
          <cell r="F22">
            <v>75755</v>
          </cell>
        </row>
        <row r="23">
          <cell r="F23">
            <v>24811</v>
          </cell>
        </row>
        <row r="24">
          <cell r="F24">
            <v>180698</v>
          </cell>
        </row>
        <row r="25">
          <cell r="F25">
            <v>72796</v>
          </cell>
        </row>
        <row r="26">
          <cell r="F26">
            <v>81039</v>
          </cell>
        </row>
        <row r="27">
          <cell r="F27">
            <v>24683</v>
          </cell>
        </row>
        <row r="28">
          <cell r="F28">
            <v>5149</v>
          </cell>
        </row>
        <row r="29">
          <cell r="F29">
            <v>207971</v>
          </cell>
        </row>
        <row r="30">
          <cell r="F30">
            <v>30401</v>
          </cell>
        </row>
        <row r="31">
          <cell r="F31">
            <v>26530</v>
          </cell>
        </row>
        <row r="32">
          <cell r="F32">
            <v>5293</v>
          </cell>
        </row>
        <row r="33">
          <cell r="F33">
            <v>12535</v>
          </cell>
        </row>
        <row r="34">
          <cell r="F34">
            <v>36080</v>
          </cell>
        </row>
        <row r="35">
          <cell r="F35">
            <v>1500</v>
          </cell>
        </row>
        <row r="36">
          <cell r="F36">
            <v>16500</v>
          </cell>
        </row>
        <row r="37">
          <cell r="F37">
            <v>3000</v>
          </cell>
        </row>
        <row r="38">
          <cell r="F38">
            <v>42000</v>
          </cell>
        </row>
        <row r="39">
          <cell r="F39">
            <v>19500</v>
          </cell>
        </row>
        <row r="40">
          <cell r="F40">
            <v>4500</v>
          </cell>
        </row>
        <row r="41">
          <cell r="F41">
            <v>6000</v>
          </cell>
        </row>
        <row r="42">
          <cell r="F42">
            <v>1500</v>
          </cell>
        </row>
        <row r="44">
          <cell r="F44">
            <v>17924</v>
          </cell>
        </row>
        <row r="45">
          <cell r="F45">
            <v>5000</v>
          </cell>
        </row>
        <row r="46">
          <cell r="F46">
            <v>2000</v>
          </cell>
        </row>
        <row r="47">
          <cell r="F47">
            <v>1400</v>
          </cell>
        </row>
        <row r="48">
          <cell r="F48">
            <v>1000</v>
          </cell>
        </row>
        <row r="49">
          <cell r="F49">
            <v>1300</v>
          </cell>
        </row>
        <row r="50">
          <cell r="F50">
            <v>1000</v>
          </cell>
        </row>
        <row r="51">
          <cell r="F51">
            <v>1000</v>
          </cell>
        </row>
        <row r="52">
          <cell r="F52">
            <v>2000</v>
          </cell>
        </row>
        <row r="53">
          <cell r="F53">
            <v>1000</v>
          </cell>
        </row>
        <row r="54">
          <cell r="F54">
            <v>2500</v>
          </cell>
        </row>
        <row r="55">
          <cell r="F55">
            <v>1000</v>
          </cell>
        </row>
        <row r="56">
          <cell r="F56">
            <v>1500</v>
          </cell>
        </row>
        <row r="57">
          <cell r="F57">
            <v>1000</v>
          </cell>
        </row>
        <row r="81">
          <cell r="F81">
            <v>8620</v>
          </cell>
        </row>
        <row r="82">
          <cell r="F82">
            <v>6515</v>
          </cell>
        </row>
        <row r="83">
          <cell r="F83">
            <v>9198</v>
          </cell>
        </row>
        <row r="84">
          <cell r="F84">
            <v>4680</v>
          </cell>
        </row>
        <row r="85">
          <cell r="F85">
            <v>17000</v>
          </cell>
        </row>
        <row r="86">
          <cell r="F86">
            <v>28260</v>
          </cell>
        </row>
        <row r="87">
          <cell r="F87">
            <v>6000</v>
          </cell>
        </row>
        <row r="88">
          <cell r="F88">
            <v>5300</v>
          </cell>
        </row>
        <row r="89">
          <cell r="F89">
            <v>16100</v>
          </cell>
        </row>
        <row r="92">
          <cell r="F92">
            <v>15370</v>
          </cell>
        </row>
        <row r="93">
          <cell r="F93">
            <v>19500</v>
          </cell>
        </row>
        <row r="94">
          <cell r="F94">
            <v>5000</v>
          </cell>
        </row>
        <row r="95">
          <cell r="F95">
            <v>600</v>
          </cell>
        </row>
        <row r="96">
          <cell r="F96">
            <v>500</v>
          </cell>
        </row>
        <row r="97">
          <cell r="F97">
            <v>500</v>
          </cell>
        </row>
        <row r="98">
          <cell r="F98">
            <v>350</v>
          </cell>
        </row>
        <row r="99">
          <cell r="F99">
            <v>500</v>
          </cell>
        </row>
        <row r="100">
          <cell r="F100">
            <v>700</v>
          </cell>
        </row>
        <row r="101">
          <cell r="F101">
            <v>400</v>
          </cell>
        </row>
        <row r="102">
          <cell r="F102">
            <v>950</v>
          </cell>
        </row>
        <row r="103">
          <cell r="F103">
            <v>800</v>
          </cell>
        </row>
        <row r="104">
          <cell r="F104">
            <v>1100</v>
          </cell>
        </row>
        <row r="105">
          <cell r="F105">
            <v>3200</v>
          </cell>
        </row>
        <row r="106">
          <cell r="F106">
            <v>800</v>
          </cell>
        </row>
        <row r="107">
          <cell r="F107">
            <v>1300</v>
          </cell>
        </row>
        <row r="108">
          <cell r="F108">
            <v>750</v>
          </cell>
        </row>
        <row r="109">
          <cell r="F109">
            <v>1500</v>
          </cell>
        </row>
        <row r="110">
          <cell r="F110">
            <v>2800</v>
          </cell>
        </row>
        <row r="111">
          <cell r="F111">
            <v>4450</v>
          </cell>
        </row>
        <row r="112">
          <cell r="F112">
            <v>3700</v>
          </cell>
        </row>
        <row r="113">
          <cell r="F113">
            <v>6350</v>
          </cell>
        </row>
        <row r="114">
          <cell r="F114">
            <v>12700</v>
          </cell>
        </row>
        <row r="115">
          <cell r="F115">
            <v>9400</v>
          </cell>
        </row>
        <row r="116">
          <cell r="F116">
            <v>2900</v>
          </cell>
        </row>
        <row r="117">
          <cell r="F117">
            <v>1900</v>
          </cell>
        </row>
        <row r="118">
          <cell r="F118">
            <v>4250</v>
          </cell>
        </row>
        <row r="119">
          <cell r="F119">
            <v>7350</v>
          </cell>
        </row>
        <row r="120">
          <cell r="F120">
            <v>5200</v>
          </cell>
        </row>
        <row r="121">
          <cell r="F121">
            <v>1200</v>
          </cell>
        </row>
        <row r="122">
          <cell r="F122">
            <v>400</v>
          </cell>
        </row>
        <row r="123">
          <cell r="F123">
            <v>4000</v>
          </cell>
        </row>
        <row r="124">
          <cell r="F124">
            <v>3150</v>
          </cell>
        </row>
        <row r="125">
          <cell r="F125">
            <v>4600</v>
          </cell>
        </row>
        <row r="126">
          <cell r="F126">
            <v>1950</v>
          </cell>
        </row>
        <row r="127">
          <cell r="F127">
            <v>650</v>
          </cell>
        </row>
        <row r="128">
          <cell r="F128">
            <v>1100</v>
          </cell>
        </row>
        <row r="129">
          <cell r="F129">
            <v>1800</v>
          </cell>
        </row>
        <row r="130">
          <cell r="F130">
            <v>1500</v>
          </cell>
        </row>
        <row r="131">
          <cell r="F131">
            <v>1100</v>
          </cell>
        </row>
        <row r="132">
          <cell r="F132">
            <v>2200</v>
          </cell>
        </row>
        <row r="133">
          <cell r="F133">
            <v>1900</v>
          </cell>
        </row>
        <row r="134">
          <cell r="F134">
            <v>1900</v>
          </cell>
        </row>
        <row r="135">
          <cell r="F135">
            <v>1500</v>
          </cell>
        </row>
        <row r="136">
          <cell r="F136">
            <v>100</v>
          </cell>
        </row>
        <row r="137">
          <cell r="F137">
            <v>200</v>
          </cell>
        </row>
        <row r="138">
          <cell r="F138">
            <v>500</v>
          </cell>
        </row>
        <row r="139">
          <cell r="F139">
            <v>300</v>
          </cell>
        </row>
        <row r="140">
          <cell r="F140">
            <v>200</v>
          </cell>
        </row>
        <row r="141">
          <cell r="F141">
            <v>100</v>
          </cell>
        </row>
        <row r="142">
          <cell r="F142">
            <v>200</v>
          </cell>
        </row>
        <row r="143">
          <cell r="F143">
            <v>300</v>
          </cell>
        </row>
        <row r="144">
          <cell r="F144">
            <v>600</v>
          </cell>
        </row>
        <row r="145">
          <cell r="F145">
            <v>100</v>
          </cell>
        </row>
        <row r="146">
          <cell r="F146">
            <v>200</v>
          </cell>
        </row>
        <row r="147">
          <cell r="F147">
            <v>100</v>
          </cell>
        </row>
        <row r="148">
          <cell r="F148">
            <v>400</v>
          </cell>
        </row>
        <row r="149">
          <cell r="F149">
            <v>300</v>
          </cell>
        </row>
        <row r="150">
          <cell r="F150">
            <v>200</v>
          </cell>
        </row>
        <row r="151">
          <cell r="F151">
            <v>200</v>
          </cell>
        </row>
        <row r="171">
          <cell r="F171">
            <v>1722</v>
          </cell>
        </row>
        <row r="172">
          <cell r="F172">
            <v>48375</v>
          </cell>
        </row>
        <row r="173">
          <cell r="F173">
            <v>3000</v>
          </cell>
        </row>
        <row r="174">
          <cell r="F174">
            <v>9000</v>
          </cell>
        </row>
        <row r="175">
          <cell r="F175">
            <v>2205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6"/>
  <sheetViews>
    <sheetView topLeftCell="A7" workbookViewId="0">
      <selection activeCell="B27" sqref="B27"/>
    </sheetView>
  </sheetViews>
  <sheetFormatPr defaultRowHeight="12.6" x14ac:dyDescent="0.25"/>
  <cols>
    <col min="1" max="1" width="3.109375" customWidth="1"/>
    <col min="2" max="2" width="39" customWidth="1"/>
    <col min="3" max="14" width="12.6640625" customWidth="1"/>
    <col min="15" max="15" width="13.88671875" customWidth="1"/>
  </cols>
  <sheetData>
    <row r="2" spans="1:15" ht="13.2" x14ac:dyDescent="0.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3.2" x14ac:dyDescent="0.25">
      <c r="A3" s="92" t="s">
        <v>85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2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3.2" x14ac:dyDescent="0.25">
      <c r="A5" s="2" t="s">
        <v>3</v>
      </c>
      <c r="B5" s="2"/>
      <c r="C5" s="2" t="s">
        <v>7</v>
      </c>
      <c r="D5" s="2"/>
      <c r="E5" s="2"/>
      <c r="F5" s="2"/>
      <c r="G5" s="2"/>
      <c r="H5" s="2"/>
      <c r="I5" s="2"/>
      <c r="J5" s="2"/>
      <c r="K5" s="2"/>
    </row>
    <row r="6" spans="1:15" ht="13.2" x14ac:dyDescent="0.25">
      <c r="A6" s="2" t="s">
        <v>4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</row>
    <row r="7" spans="1:15" ht="13.2" x14ac:dyDescent="0.25">
      <c r="A7" s="2" t="s">
        <v>5</v>
      </c>
      <c r="B7" s="2"/>
      <c r="C7" s="16" t="s">
        <v>63</v>
      </c>
      <c r="D7" s="2"/>
      <c r="E7" s="2"/>
      <c r="F7" s="2"/>
      <c r="G7" s="2"/>
      <c r="H7" s="2"/>
      <c r="I7" s="2"/>
      <c r="J7" s="2"/>
      <c r="K7" s="2"/>
    </row>
    <row r="8" spans="1:15" ht="13.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13.2" x14ac:dyDescent="0.25">
      <c r="A9" s="37" t="s">
        <v>8</v>
      </c>
      <c r="B9" s="38"/>
      <c r="C9" s="17" t="s">
        <v>48</v>
      </c>
      <c r="D9" s="22" t="s">
        <v>49</v>
      </c>
      <c r="E9" s="18" t="s">
        <v>50</v>
      </c>
      <c r="F9" s="22" t="s">
        <v>51</v>
      </c>
      <c r="G9" s="18" t="s">
        <v>52</v>
      </c>
      <c r="H9" s="22" t="s">
        <v>53</v>
      </c>
      <c r="I9" s="17" t="s">
        <v>66</v>
      </c>
      <c r="J9" s="22" t="s">
        <v>67</v>
      </c>
      <c r="K9" s="17" t="s">
        <v>68</v>
      </c>
      <c r="L9" s="22" t="s">
        <v>69</v>
      </c>
      <c r="M9" s="17" t="s">
        <v>70</v>
      </c>
      <c r="N9" s="22" t="s">
        <v>71</v>
      </c>
      <c r="O9" s="33" t="s">
        <v>23</v>
      </c>
    </row>
    <row r="10" spans="1:15" ht="13.2" x14ac:dyDescent="0.25">
      <c r="A10" s="3" t="s">
        <v>9</v>
      </c>
      <c r="B10" s="5"/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35"/>
    </row>
    <row r="11" spans="1:15" ht="13.2" x14ac:dyDescent="0.25">
      <c r="A11" s="4"/>
      <c r="B11" s="5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35"/>
    </row>
    <row r="12" spans="1:15" ht="13.2" x14ac:dyDescent="0.25">
      <c r="A12" s="4" t="s">
        <v>10</v>
      </c>
      <c r="B12" s="5"/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8"/>
      <c r="O12" s="35"/>
    </row>
    <row r="13" spans="1:15" ht="13.2" x14ac:dyDescent="0.25">
      <c r="A13" s="4"/>
      <c r="B13" s="5"/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8"/>
      <c r="O13" s="35"/>
    </row>
    <row r="14" spans="1:15" ht="13.2" x14ac:dyDescent="0.25">
      <c r="A14" s="4" t="s">
        <v>11</v>
      </c>
      <c r="B14" s="5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35"/>
    </row>
    <row r="15" spans="1:15" ht="13.2" x14ac:dyDescent="0.25">
      <c r="A15" s="9" t="s">
        <v>29</v>
      </c>
      <c r="B15" s="5" t="s">
        <v>12</v>
      </c>
      <c r="C15" s="7">
        <v>124932</v>
      </c>
      <c r="D15" s="8">
        <f>139615-124932</f>
        <v>14683</v>
      </c>
      <c r="E15" s="7">
        <f>446850-139615</f>
        <v>307235</v>
      </c>
      <c r="F15" s="8">
        <f>613274-446850</f>
        <v>166424</v>
      </c>
      <c r="G15" s="7">
        <f>706236.5-613274</f>
        <v>92962.5</v>
      </c>
      <c r="H15" s="8">
        <f>838037.1-706236.5</f>
        <v>131800.59999999998</v>
      </c>
      <c r="I15" s="7">
        <f>970897.7-838037.1</f>
        <v>132860.59999999998</v>
      </c>
      <c r="J15" s="8">
        <v>46865</v>
      </c>
      <c r="K15" s="7">
        <f>1103452.7-1017762.7</f>
        <v>85690</v>
      </c>
      <c r="L15" s="8">
        <f>1250426.2-1103452.7</f>
        <v>146973.5</v>
      </c>
      <c r="M15" s="7">
        <f>1341050.94-1250426.2</f>
        <v>90624.739999999991</v>
      </c>
      <c r="N15" s="8">
        <f>3946617.04-1341050.94</f>
        <v>2605566.1</v>
      </c>
      <c r="O15" s="35">
        <f>SUM(C15:N15)</f>
        <v>3946617.04</v>
      </c>
    </row>
    <row r="16" spans="1:15" ht="13.2" x14ac:dyDescent="0.25">
      <c r="A16" s="9" t="s">
        <v>30</v>
      </c>
      <c r="B16" s="5" t="s">
        <v>13</v>
      </c>
      <c r="C16" s="7"/>
      <c r="D16" s="8">
        <v>174226.37</v>
      </c>
      <c r="E16" s="7">
        <f>479408.22-174226.37</f>
        <v>305181.84999999998</v>
      </c>
      <c r="F16" s="8">
        <f>737265.56-479408.22</f>
        <v>257857.34000000008</v>
      </c>
      <c r="G16" s="7">
        <f>1133910.56-730752.56</f>
        <v>403158</v>
      </c>
      <c r="H16" s="8">
        <f>1367842.06-1133910.56</f>
        <v>233931.5</v>
      </c>
      <c r="I16" s="7">
        <f>1677550.16-1363398.06</f>
        <v>314152.09999999986</v>
      </c>
      <c r="J16" s="8">
        <f>1946529.38-1649643.66</f>
        <v>296885.71999999997</v>
      </c>
      <c r="K16" s="7">
        <f>2138979.13-1946529.38</f>
        <v>192449.75</v>
      </c>
      <c r="L16" s="8">
        <f>2763346.63-2138979.13</f>
        <v>624367.5</v>
      </c>
      <c r="M16" s="7">
        <f>2943136.13-2763346.63</f>
        <v>179789.5</v>
      </c>
      <c r="N16" s="8">
        <f>3266640.98-2943136.13</f>
        <v>323504.85000000009</v>
      </c>
      <c r="O16" s="35">
        <f t="shared" ref="O16:O34" si="0">SUM(C16:N16)</f>
        <v>3305504.48</v>
      </c>
    </row>
    <row r="17" spans="1:15" ht="13.2" x14ac:dyDescent="0.25">
      <c r="A17" s="9" t="s">
        <v>31</v>
      </c>
      <c r="B17" s="5" t="s">
        <v>14</v>
      </c>
      <c r="C17" s="7"/>
      <c r="D17" s="8"/>
      <c r="E17" s="7">
        <f>768587.05</f>
        <v>768587.05</v>
      </c>
      <c r="F17" s="8">
        <f>788638.95-768587.05</f>
        <v>20051.899999999907</v>
      </c>
      <c r="G17" s="7">
        <v>177077</v>
      </c>
      <c r="H17" s="8">
        <f>2129498.85-960153.85</f>
        <v>1169345</v>
      </c>
      <c r="I17" s="7"/>
      <c r="J17" s="8">
        <v>5310</v>
      </c>
      <c r="K17" s="7"/>
      <c r="L17" s="8"/>
      <c r="M17" s="7">
        <f>3620539.85-1957731.85</f>
        <v>1662808</v>
      </c>
      <c r="N17" s="8">
        <f>3656539.85-3620539.85</f>
        <v>36000</v>
      </c>
      <c r="O17" s="35">
        <f t="shared" si="0"/>
        <v>3839178.95</v>
      </c>
    </row>
    <row r="18" spans="1:15" ht="13.2" x14ac:dyDescent="0.25">
      <c r="A18" s="9" t="s">
        <v>32</v>
      </c>
      <c r="B18" s="5" t="s">
        <v>15</v>
      </c>
      <c r="C18" s="7">
        <v>5000</v>
      </c>
      <c r="D18" s="8">
        <v>7000</v>
      </c>
      <c r="E18" s="7">
        <f>19500-12000</f>
        <v>7500</v>
      </c>
      <c r="F18" s="8"/>
      <c r="G18" s="7">
        <v>579500.5</v>
      </c>
      <c r="H18" s="8">
        <f>599500.5+4500-579500.5</f>
        <v>24500</v>
      </c>
      <c r="I18" s="7">
        <f>618564.5-597000.5+3936+2500</f>
        <v>28000</v>
      </c>
      <c r="J18" s="8">
        <f>1022974.5+1690-621064.5</f>
        <v>403600</v>
      </c>
      <c r="K18" s="7">
        <f>1012366.5-1022974.5+34063</f>
        <v>23455</v>
      </c>
      <c r="L18" s="8">
        <f>1358466.5-1011366.5</f>
        <v>347100</v>
      </c>
      <c r="M18" s="7">
        <f>1381286.5-1358466.5+3180</f>
        <v>26000</v>
      </c>
      <c r="N18" s="8">
        <f>1648486.5-1381286.5</f>
        <v>267200</v>
      </c>
      <c r="O18" s="35">
        <f t="shared" si="0"/>
        <v>1718855.5</v>
      </c>
    </row>
    <row r="19" spans="1:15" ht="13.2" x14ac:dyDescent="0.25">
      <c r="A19" s="9" t="s">
        <v>33</v>
      </c>
      <c r="B19" s="5" t="s">
        <v>16</v>
      </c>
      <c r="C19" s="7">
        <v>30050</v>
      </c>
      <c r="D19" s="8"/>
      <c r="E19" s="7">
        <f>57080-30050</f>
        <v>27030</v>
      </c>
      <c r="F19" s="8"/>
      <c r="G19" s="7">
        <f>116070-57080</f>
        <v>58990</v>
      </c>
      <c r="H19" s="8">
        <f>18200+21690</f>
        <v>39890</v>
      </c>
      <c r="I19" s="7">
        <v>10655</v>
      </c>
      <c r="J19" s="8">
        <v>6085</v>
      </c>
      <c r="K19" s="7"/>
      <c r="L19" s="8">
        <f>208055-172700</f>
        <v>35355</v>
      </c>
      <c r="M19" s="7">
        <v>68668</v>
      </c>
      <c r="N19" s="8"/>
      <c r="O19" s="35">
        <f t="shared" si="0"/>
        <v>276723</v>
      </c>
    </row>
    <row r="20" spans="1:15" ht="13.2" x14ac:dyDescent="0.25">
      <c r="A20" s="9" t="s">
        <v>34</v>
      </c>
      <c r="B20" s="5" t="s">
        <v>27</v>
      </c>
      <c r="C20" s="7"/>
      <c r="D20" s="8"/>
      <c r="E20" s="7"/>
      <c r="F20" s="8">
        <f>673200-64600</f>
        <v>608600</v>
      </c>
      <c r="G20" s="7">
        <f>799000-673200</f>
        <v>125800</v>
      </c>
      <c r="H20" s="8"/>
      <c r="I20" s="7"/>
      <c r="J20" s="8"/>
      <c r="K20" s="7"/>
      <c r="L20" s="8"/>
      <c r="M20" s="7">
        <v>1200</v>
      </c>
      <c r="N20" s="8"/>
      <c r="O20" s="35">
        <f t="shared" si="0"/>
        <v>735600</v>
      </c>
    </row>
    <row r="21" spans="1:15" ht="13.2" x14ac:dyDescent="0.25">
      <c r="A21" s="9" t="s">
        <v>35</v>
      </c>
      <c r="B21" s="5" t="s">
        <v>17</v>
      </c>
      <c r="C21" s="7"/>
      <c r="D21" s="8"/>
      <c r="E21" s="7"/>
      <c r="F21" s="8"/>
      <c r="G21" s="7"/>
      <c r="H21" s="8">
        <v>3350</v>
      </c>
      <c r="I21" s="7"/>
      <c r="J21" s="8"/>
      <c r="K21" s="7"/>
      <c r="L21" s="8">
        <v>500</v>
      </c>
      <c r="M21" s="7"/>
      <c r="N21" s="8">
        <v>12060</v>
      </c>
      <c r="O21" s="35">
        <f t="shared" si="0"/>
        <v>15910</v>
      </c>
    </row>
    <row r="22" spans="1:15" ht="13.2" x14ac:dyDescent="0.25">
      <c r="A22" s="9" t="s">
        <v>36</v>
      </c>
      <c r="B22" s="5" t="s">
        <v>56</v>
      </c>
      <c r="C22" s="7">
        <v>3285</v>
      </c>
      <c r="D22" s="8"/>
      <c r="E22" s="7"/>
      <c r="F22" s="8"/>
      <c r="G22" s="7">
        <f>57095-6965</f>
        <v>50130</v>
      </c>
      <c r="H22" s="8">
        <f>142295-57095</f>
        <v>85200</v>
      </c>
      <c r="I22" s="7">
        <v>13651.5</v>
      </c>
      <c r="J22" s="8"/>
      <c r="K22" s="7"/>
      <c r="L22" s="8">
        <v>4900</v>
      </c>
      <c r="M22" s="7"/>
      <c r="N22" s="8">
        <f>125397.32-129941.52+46700</f>
        <v>42155.8</v>
      </c>
      <c r="O22" s="35">
        <f t="shared" si="0"/>
        <v>199322.3</v>
      </c>
    </row>
    <row r="23" spans="1:15" ht="13.2" x14ac:dyDescent="0.25">
      <c r="A23" s="9" t="s">
        <v>37</v>
      </c>
      <c r="B23" s="5" t="s">
        <v>22</v>
      </c>
      <c r="C23" s="7">
        <v>76085</v>
      </c>
      <c r="D23" s="8">
        <f>98146-76085</f>
        <v>22061</v>
      </c>
      <c r="E23" s="7">
        <f>141601.5-98146</f>
        <v>43455.5</v>
      </c>
      <c r="F23" s="8">
        <v>58790</v>
      </c>
      <c r="G23" s="7"/>
      <c r="H23" s="8"/>
      <c r="I23" s="7">
        <v>30000</v>
      </c>
      <c r="J23" s="8">
        <v>13500</v>
      </c>
      <c r="K23" s="7">
        <v>18750</v>
      </c>
      <c r="L23" s="8">
        <v>15000</v>
      </c>
      <c r="M23" s="7">
        <f>252737.9-166250</f>
        <v>86487.9</v>
      </c>
      <c r="N23" s="8">
        <v>24000</v>
      </c>
      <c r="O23" s="35">
        <f t="shared" si="0"/>
        <v>388129.4</v>
      </c>
    </row>
    <row r="24" spans="1:15" ht="13.2" x14ac:dyDescent="0.25">
      <c r="A24" s="9" t="s">
        <v>38</v>
      </c>
      <c r="B24" s="5" t="s">
        <v>0</v>
      </c>
      <c r="C24" s="7">
        <v>1000</v>
      </c>
      <c r="D24" s="8"/>
      <c r="E24" s="7">
        <v>2000</v>
      </c>
      <c r="F24" s="8"/>
      <c r="G24" s="7">
        <v>73500</v>
      </c>
      <c r="H24" s="8">
        <v>13500</v>
      </c>
      <c r="I24" s="7"/>
      <c r="J24" s="8">
        <f>75654-72804</f>
        <v>2850</v>
      </c>
      <c r="K24" s="7">
        <f>102654-75654</f>
        <v>27000</v>
      </c>
      <c r="L24" s="8">
        <f>282954-102354</f>
        <v>180600</v>
      </c>
      <c r="M24" s="7">
        <f>357279-277854+2975</f>
        <v>82400</v>
      </c>
      <c r="N24" s="8">
        <f>382029-357279+5250+2450</f>
        <v>32450</v>
      </c>
      <c r="O24" s="35">
        <f t="shared" si="0"/>
        <v>415300</v>
      </c>
    </row>
    <row r="25" spans="1:15" ht="13.2" x14ac:dyDescent="0.25">
      <c r="A25" s="9" t="s">
        <v>39</v>
      </c>
      <c r="B25" s="5" t="s">
        <v>78</v>
      </c>
      <c r="C25" s="7">
        <v>20700</v>
      </c>
      <c r="D25" s="8">
        <v>67650</v>
      </c>
      <c r="E25" s="7">
        <f>130100-88350</f>
        <v>41750</v>
      </c>
      <c r="F25" s="8">
        <f>193550-130100</f>
        <v>63450</v>
      </c>
      <c r="G25" s="7">
        <f>194900+1850-193550</f>
        <v>3200</v>
      </c>
      <c r="H25" s="8">
        <v>1900</v>
      </c>
      <c r="I25" s="7"/>
      <c r="J25" s="8"/>
      <c r="K25" s="7"/>
      <c r="L25" s="8"/>
      <c r="M25" s="7">
        <v>9289</v>
      </c>
      <c r="N25" s="8"/>
      <c r="O25" s="35">
        <f t="shared" si="0"/>
        <v>207939</v>
      </c>
    </row>
    <row r="26" spans="1:15" ht="13.2" x14ac:dyDescent="0.25">
      <c r="A26" s="9" t="s">
        <v>40</v>
      </c>
      <c r="B26" s="5" t="s">
        <v>72</v>
      </c>
      <c r="C26" s="7">
        <v>30</v>
      </c>
      <c r="D26" s="8">
        <v>30</v>
      </c>
      <c r="E26" s="7"/>
      <c r="F26" s="8">
        <v>4055</v>
      </c>
      <c r="G26" s="7"/>
      <c r="H26" s="8">
        <f>16898-4115</f>
        <v>12783</v>
      </c>
      <c r="I26" s="7"/>
      <c r="J26" s="8"/>
      <c r="K26" s="7" t="s">
        <v>1</v>
      </c>
      <c r="L26" s="8">
        <v>730</v>
      </c>
      <c r="M26" s="7">
        <v>1180</v>
      </c>
      <c r="N26" s="8">
        <v>3750</v>
      </c>
      <c r="O26" s="35">
        <f t="shared" si="0"/>
        <v>22558</v>
      </c>
    </row>
    <row r="27" spans="1:15" ht="13.2" x14ac:dyDescent="0.25">
      <c r="A27" s="9" t="s">
        <v>41</v>
      </c>
      <c r="B27" s="5" t="s">
        <v>79</v>
      </c>
      <c r="C27" s="7"/>
      <c r="D27" s="8"/>
      <c r="E27" s="7"/>
      <c r="F27" s="8"/>
      <c r="G27" s="7"/>
      <c r="H27" s="8">
        <v>9022</v>
      </c>
      <c r="I27" s="7">
        <v>1765</v>
      </c>
      <c r="J27" s="8">
        <v>2483.5</v>
      </c>
      <c r="K27" s="8"/>
      <c r="L27" s="21">
        <v>2418.75</v>
      </c>
      <c r="M27" s="7">
        <v>2615</v>
      </c>
      <c r="N27" s="8"/>
      <c r="O27" s="35">
        <f t="shared" si="0"/>
        <v>18304.25</v>
      </c>
    </row>
    <row r="28" spans="1:15" ht="13.2" x14ac:dyDescent="0.25">
      <c r="A28" s="9" t="s">
        <v>42</v>
      </c>
      <c r="B28" s="5" t="s">
        <v>47</v>
      </c>
      <c r="C28" s="7">
        <v>4700</v>
      </c>
      <c r="D28" s="8"/>
      <c r="E28" s="7"/>
      <c r="F28" s="8">
        <v>25725</v>
      </c>
      <c r="G28" s="7">
        <v>6155</v>
      </c>
      <c r="H28" s="8">
        <v>3710</v>
      </c>
      <c r="I28" s="7"/>
      <c r="J28" s="8"/>
      <c r="K28" s="7"/>
      <c r="L28" s="8"/>
      <c r="M28" s="7">
        <v>60000</v>
      </c>
      <c r="N28" s="8">
        <v>525</v>
      </c>
      <c r="O28" s="35">
        <f t="shared" si="0"/>
        <v>100815</v>
      </c>
    </row>
    <row r="29" spans="1:15" ht="13.2" x14ac:dyDescent="0.25">
      <c r="A29" s="9" t="s">
        <v>43</v>
      </c>
      <c r="B29" s="5" t="s">
        <v>73</v>
      </c>
      <c r="C29" s="7">
        <v>10540.25</v>
      </c>
      <c r="D29" s="8">
        <v>9281</v>
      </c>
      <c r="E29" s="8">
        <v>5368.75</v>
      </c>
      <c r="F29" s="21">
        <v>4635.75</v>
      </c>
      <c r="G29" s="7">
        <v>6356.25</v>
      </c>
      <c r="H29" s="8"/>
      <c r="I29" s="7"/>
      <c r="J29" s="8"/>
      <c r="K29" s="7"/>
      <c r="L29" s="8"/>
      <c r="M29" s="7">
        <f>47035.85-4463.85</f>
        <v>42572</v>
      </c>
      <c r="N29" s="8"/>
      <c r="O29" s="35">
        <f t="shared" si="0"/>
        <v>78754</v>
      </c>
    </row>
    <row r="30" spans="1:15" ht="13.2" x14ac:dyDescent="0.25">
      <c r="A30" s="9" t="s">
        <v>44</v>
      </c>
      <c r="B30" s="5" t="s">
        <v>74</v>
      </c>
      <c r="C30" s="7"/>
      <c r="D30" s="8">
        <v>14000</v>
      </c>
      <c r="E30" s="7"/>
      <c r="F30" s="8"/>
      <c r="G30" s="7">
        <f>191775-14000</f>
        <v>177775</v>
      </c>
      <c r="H30" s="8">
        <v>27775</v>
      </c>
      <c r="I30" s="7"/>
      <c r="J30" s="8">
        <v>300</v>
      </c>
      <c r="K30" s="7">
        <v>3962</v>
      </c>
      <c r="L30" s="8"/>
      <c r="M30" s="7">
        <f>602737.98-K30-J30</f>
        <v>598475.98</v>
      </c>
      <c r="N30" s="8">
        <f>713035.96-602737.98</f>
        <v>110297.97999999998</v>
      </c>
      <c r="O30" s="35">
        <f t="shared" si="0"/>
        <v>932585.96</v>
      </c>
    </row>
    <row r="31" spans="1:15" ht="13.2" x14ac:dyDescent="0.25">
      <c r="A31" s="9" t="s">
        <v>45</v>
      </c>
      <c r="B31" s="5" t="s">
        <v>60</v>
      </c>
      <c r="C31" s="7"/>
      <c r="D31" s="8"/>
      <c r="E31" s="7">
        <v>165000</v>
      </c>
      <c r="F31" s="8"/>
      <c r="G31" s="7"/>
      <c r="H31" s="8"/>
      <c r="I31" s="7"/>
      <c r="J31" s="8"/>
      <c r="K31" s="7"/>
      <c r="L31" s="8">
        <v>1700</v>
      </c>
      <c r="M31" s="7"/>
      <c r="N31" s="8"/>
      <c r="O31" s="35">
        <f t="shared" si="0"/>
        <v>166700</v>
      </c>
    </row>
    <row r="32" spans="1:15" ht="13.2" x14ac:dyDescent="0.25">
      <c r="A32" s="9" t="s">
        <v>54</v>
      </c>
      <c r="B32" s="5" t="s">
        <v>75</v>
      </c>
      <c r="C32" s="7"/>
      <c r="D32" s="8"/>
      <c r="E32" s="7">
        <v>4463.8500000000004</v>
      </c>
      <c r="F32" s="8"/>
      <c r="G32" s="7"/>
      <c r="H32" s="8"/>
      <c r="I32" s="7"/>
      <c r="J32" s="8"/>
      <c r="K32" s="7">
        <v>1920</v>
      </c>
      <c r="L32" s="8"/>
      <c r="M32" s="7"/>
      <c r="N32" s="8">
        <v>3600</v>
      </c>
      <c r="O32" s="35">
        <f t="shared" si="0"/>
        <v>9983.85</v>
      </c>
    </row>
    <row r="33" spans="1:15" ht="13.2" x14ac:dyDescent="0.25">
      <c r="A33" s="9" t="s">
        <v>61</v>
      </c>
      <c r="B33" s="5" t="s">
        <v>76</v>
      </c>
      <c r="C33" s="7"/>
      <c r="D33" s="8"/>
      <c r="E33" s="7"/>
      <c r="F33" s="8">
        <v>109800</v>
      </c>
      <c r="G33" s="7"/>
      <c r="H33" s="8">
        <v>1400</v>
      </c>
      <c r="I33" s="7"/>
      <c r="J33" s="8"/>
      <c r="K33" s="7"/>
      <c r="L33" s="8"/>
      <c r="M33" s="7">
        <v>590</v>
      </c>
      <c r="N33" s="8"/>
      <c r="O33" s="35">
        <f t="shared" si="0"/>
        <v>111790</v>
      </c>
    </row>
    <row r="34" spans="1:15" ht="13.2" x14ac:dyDescent="0.25">
      <c r="A34" s="9" t="s">
        <v>62</v>
      </c>
      <c r="B34" s="5" t="s">
        <v>77</v>
      </c>
      <c r="C34" s="7"/>
      <c r="D34" s="8"/>
      <c r="E34" s="7"/>
      <c r="F34" s="8">
        <v>25000</v>
      </c>
      <c r="G34" s="7">
        <v>19704</v>
      </c>
      <c r="H34" s="8"/>
      <c r="I34" s="7">
        <v>19135</v>
      </c>
      <c r="J34" s="8"/>
      <c r="K34" s="7"/>
      <c r="L34" s="8"/>
      <c r="M34" s="7"/>
      <c r="N34" s="8"/>
      <c r="O34" s="35">
        <f t="shared" si="0"/>
        <v>63839</v>
      </c>
    </row>
    <row r="35" spans="1:15" ht="13.2" x14ac:dyDescent="0.25">
      <c r="A35" s="4"/>
      <c r="B35" s="10" t="s">
        <v>23</v>
      </c>
      <c r="C35" s="30">
        <f>SUM(C15:C34)</f>
        <v>276322.25</v>
      </c>
      <c r="D35" s="31">
        <f t="shared" ref="D35:H35" si="1">SUM(D15:D34)</f>
        <v>308931.37</v>
      </c>
      <c r="E35" s="31">
        <f t="shared" si="1"/>
        <v>1677572</v>
      </c>
      <c r="F35" s="31">
        <f t="shared" si="1"/>
        <v>1344388.99</v>
      </c>
      <c r="G35" s="31">
        <f t="shared" si="1"/>
        <v>1774308.25</v>
      </c>
      <c r="H35" s="31">
        <f t="shared" si="1"/>
        <v>1758107.1</v>
      </c>
      <c r="I35" s="23">
        <f>SUM(I15:I34)</f>
        <v>550219.19999999984</v>
      </c>
      <c r="J35" s="23">
        <f t="shared" ref="J35:N35" si="2">SUM(J15:J34)</f>
        <v>777879.22</v>
      </c>
      <c r="K35" s="23">
        <f t="shared" si="2"/>
        <v>353226.75</v>
      </c>
      <c r="L35" s="23">
        <f t="shared" si="2"/>
        <v>1359644.75</v>
      </c>
      <c r="M35" s="23">
        <f t="shared" si="2"/>
        <v>2912700.12</v>
      </c>
      <c r="N35" s="23">
        <f t="shared" si="2"/>
        <v>3461109.73</v>
      </c>
      <c r="O35" s="29">
        <f>SUM(O15:O34)</f>
        <v>16554409.729999999</v>
      </c>
    </row>
    <row r="36" spans="1:15" ht="13.2" x14ac:dyDescent="0.25">
      <c r="A36" s="3" t="s">
        <v>24</v>
      </c>
      <c r="B36" s="11"/>
      <c r="C36" s="12"/>
      <c r="D36" s="12"/>
      <c r="E36" s="12"/>
      <c r="F36" s="12"/>
      <c r="G36" s="12" t="s">
        <v>57</v>
      </c>
      <c r="H36" s="12"/>
      <c r="I36" s="12"/>
      <c r="J36" s="12"/>
      <c r="K36" s="12"/>
      <c r="L36" s="24"/>
      <c r="M36" s="24"/>
      <c r="N36" s="24"/>
      <c r="O36" s="25"/>
    </row>
    <row r="37" spans="1:15" ht="13.2" x14ac:dyDescent="0.25">
      <c r="A37" s="4"/>
      <c r="B37" s="2"/>
      <c r="C37" s="7"/>
      <c r="D37" s="7"/>
      <c r="E37" s="7"/>
      <c r="F37" s="7"/>
      <c r="G37" s="7"/>
      <c r="H37" s="7"/>
      <c r="I37" s="7"/>
      <c r="J37" s="7"/>
      <c r="K37" s="7"/>
      <c r="O37" s="26"/>
    </row>
    <row r="38" spans="1:15" ht="13.2" x14ac:dyDescent="0.25">
      <c r="A38" s="4"/>
      <c r="B38" s="14"/>
      <c r="C38" s="7"/>
      <c r="D38" s="7"/>
      <c r="E38" s="7"/>
      <c r="F38" s="7"/>
      <c r="G38" s="15"/>
      <c r="H38" s="15"/>
      <c r="I38" s="15"/>
      <c r="J38" s="7"/>
      <c r="K38" s="7"/>
      <c r="O38" s="26"/>
    </row>
    <row r="39" spans="1:15" ht="13.2" x14ac:dyDescent="0.25">
      <c r="A39" s="98" t="s">
        <v>64</v>
      </c>
      <c r="B39" s="99"/>
      <c r="C39" s="7"/>
      <c r="D39" s="7"/>
      <c r="E39" s="7"/>
      <c r="F39" s="7"/>
      <c r="G39" s="7"/>
      <c r="H39" s="20" t="s">
        <v>65</v>
      </c>
      <c r="I39" s="20"/>
      <c r="J39" s="20"/>
      <c r="K39" s="7"/>
      <c r="O39" s="26"/>
    </row>
    <row r="40" spans="1:15" ht="13.2" x14ac:dyDescent="0.25">
      <c r="A40" s="98" t="s">
        <v>25</v>
      </c>
      <c r="B40" s="99"/>
      <c r="C40" s="7"/>
      <c r="D40" s="7"/>
      <c r="E40" s="7"/>
      <c r="F40" s="7"/>
      <c r="G40" s="7"/>
      <c r="H40" s="20" t="s">
        <v>58</v>
      </c>
      <c r="I40" s="20"/>
      <c r="J40" s="20"/>
      <c r="K40" s="7"/>
      <c r="O40" s="26"/>
    </row>
    <row r="41" spans="1:15" ht="13.2" x14ac:dyDescent="0.25">
      <c r="A41" s="96" t="s">
        <v>26</v>
      </c>
      <c r="B41" s="97"/>
      <c r="C41" s="15"/>
      <c r="D41" s="15"/>
      <c r="E41" s="15"/>
      <c r="F41" s="15"/>
      <c r="G41" s="15"/>
      <c r="H41" s="15" t="s">
        <v>26</v>
      </c>
      <c r="I41" s="15"/>
      <c r="J41" s="15"/>
      <c r="K41" s="15"/>
      <c r="L41" s="27"/>
      <c r="M41" s="27"/>
      <c r="N41" s="27"/>
      <c r="O41" s="28"/>
    </row>
    <row r="42" spans="1:15" ht="13.2" x14ac:dyDescent="0.25">
      <c r="A42" s="36"/>
      <c r="B42" s="36"/>
      <c r="C42" s="7"/>
      <c r="D42" s="7"/>
      <c r="E42" s="7"/>
      <c r="F42" s="7"/>
      <c r="G42" s="7"/>
      <c r="H42" s="7"/>
      <c r="I42" s="7"/>
      <c r="J42" s="7"/>
      <c r="K42" s="7"/>
    </row>
    <row r="43" spans="1:15" ht="13.2" x14ac:dyDescent="0.25">
      <c r="A43" s="92" t="s">
        <v>80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1:15" ht="13.2" x14ac:dyDescent="0.25">
      <c r="A44" s="92" t="s">
        <v>86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1:15" ht="13.2" x14ac:dyDescent="0.25">
      <c r="A45" s="92" t="s">
        <v>2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5" ht="13.2" x14ac:dyDescent="0.25">
      <c r="A46" s="2" t="s">
        <v>3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</row>
    <row r="47" spans="1:15" ht="13.2" x14ac:dyDescent="0.25">
      <c r="A47" s="2" t="s">
        <v>4</v>
      </c>
      <c r="B47" s="2"/>
      <c r="C47" s="2" t="s">
        <v>6</v>
      </c>
      <c r="D47" s="2"/>
      <c r="E47" s="2"/>
      <c r="F47" s="2"/>
      <c r="G47" s="2"/>
      <c r="H47" s="2"/>
      <c r="I47" s="2"/>
      <c r="J47" s="2"/>
      <c r="K47" s="2"/>
      <c r="L47" t="s">
        <v>1</v>
      </c>
    </row>
    <row r="48" spans="1:15" ht="13.2" x14ac:dyDescent="0.25">
      <c r="A48" s="2" t="s">
        <v>5</v>
      </c>
      <c r="B48" s="2"/>
      <c r="C48" s="16" t="s">
        <v>63</v>
      </c>
      <c r="D48" s="2"/>
      <c r="E48" s="2"/>
      <c r="F48" s="2"/>
      <c r="G48" s="2"/>
      <c r="H48" s="2"/>
      <c r="I48" s="2"/>
      <c r="J48" s="2"/>
      <c r="K48" s="2"/>
    </row>
    <row r="49" spans="1:15" ht="13.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5" ht="13.2" x14ac:dyDescent="0.25">
      <c r="A50" s="37" t="s">
        <v>8</v>
      </c>
      <c r="B50" s="38"/>
      <c r="C50" s="17" t="s">
        <v>48</v>
      </c>
      <c r="D50" s="22" t="s">
        <v>49</v>
      </c>
      <c r="E50" s="18" t="s">
        <v>50</v>
      </c>
      <c r="F50" s="22" t="s">
        <v>51</v>
      </c>
      <c r="G50" s="18" t="s">
        <v>52</v>
      </c>
      <c r="H50" s="22" t="s">
        <v>53</v>
      </c>
      <c r="I50" s="17" t="s">
        <v>66</v>
      </c>
      <c r="J50" s="22" t="s">
        <v>67</v>
      </c>
      <c r="K50" s="17" t="s">
        <v>68</v>
      </c>
      <c r="L50" s="22" t="s">
        <v>69</v>
      </c>
      <c r="M50" s="17" t="s">
        <v>70</v>
      </c>
      <c r="N50" s="22" t="s">
        <v>71</v>
      </c>
      <c r="O50" s="33" t="s">
        <v>23</v>
      </c>
    </row>
    <row r="51" spans="1:15" ht="13.2" x14ac:dyDescent="0.25">
      <c r="A51" s="3" t="s">
        <v>9</v>
      </c>
      <c r="B51" s="5"/>
      <c r="C51" s="7"/>
      <c r="D51" s="8"/>
      <c r="E51" s="7"/>
      <c r="F51" s="8"/>
      <c r="G51" s="7"/>
      <c r="H51" s="8"/>
      <c r="I51" s="7"/>
      <c r="J51" s="8"/>
      <c r="K51" s="7"/>
      <c r="L51" s="8"/>
      <c r="M51" s="7"/>
      <c r="N51" s="8"/>
      <c r="O51" s="34"/>
    </row>
    <row r="52" spans="1:15" ht="13.2" x14ac:dyDescent="0.25">
      <c r="A52" s="4"/>
      <c r="B52" s="5"/>
      <c r="C52" s="7"/>
      <c r="D52" s="8"/>
      <c r="E52" s="7"/>
      <c r="F52" s="8"/>
      <c r="G52" s="7"/>
      <c r="H52" s="8"/>
      <c r="I52" s="7"/>
      <c r="J52" s="8"/>
      <c r="K52" s="7"/>
      <c r="L52" s="8"/>
      <c r="M52" s="7"/>
      <c r="N52" s="8"/>
      <c r="O52" s="34"/>
    </row>
    <row r="53" spans="1:15" ht="13.2" x14ac:dyDescent="0.25">
      <c r="A53" s="4" t="s">
        <v>10</v>
      </c>
      <c r="B53" s="5"/>
      <c r="C53" s="7"/>
      <c r="D53" s="8"/>
      <c r="E53" s="7"/>
      <c r="F53" s="8"/>
      <c r="G53" s="7"/>
      <c r="H53" s="8"/>
      <c r="I53" s="7"/>
      <c r="J53" s="8"/>
      <c r="K53" s="7"/>
      <c r="L53" s="8"/>
      <c r="M53" s="7"/>
      <c r="N53" s="8"/>
      <c r="O53" s="34"/>
    </row>
    <row r="54" spans="1:15" ht="13.2" x14ac:dyDescent="0.25">
      <c r="A54" s="4"/>
      <c r="B54" s="5"/>
      <c r="C54" s="7"/>
      <c r="D54" s="8"/>
      <c r="E54" s="7"/>
      <c r="F54" s="8"/>
      <c r="G54" s="7"/>
      <c r="H54" s="8"/>
      <c r="I54" s="7"/>
      <c r="J54" s="8"/>
      <c r="K54" s="7"/>
      <c r="L54" s="8"/>
      <c r="M54" s="7"/>
      <c r="N54" s="8"/>
      <c r="O54" s="34"/>
    </row>
    <row r="55" spans="1:15" ht="13.2" x14ac:dyDescent="0.25">
      <c r="A55" s="4" t="s">
        <v>11</v>
      </c>
      <c r="B55" s="5"/>
      <c r="C55" s="7"/>
      <c r="D55" s="8"/>
      <c r="E55" s="7"/>
      <c r="F55" s="8"/>
      <c r="G55" s="7"/>
      <c r="H55" s="8"/>
      <c r="I55" s="7"/>
      <c r="J55" s="8"/>
      <c r="K55" s="7"/>
      <c r="L55" s="8"/>
      <c r="M55" s="7"/>
      <c r="N55" s="8"/>
      <c r="O55" s="34"/>
    </row>
    <row r="56" spans="1:15" ht="13.2" x14ac:dyDescent="0.25">
      <c r="A56" s="9" t="s">
        <v>29</v>
      </c>
      <c r="B56" s="5" t="s">
        <v>12</v>
      </c>
      <c r="C56" s="7">
        <f>[1]Sheet1!F3+[1]Sheet1!F4</f>
        <v>127079.5</v>
      </c>
      <c r="D56" s="8">
        <f>[1]Sheet1!F5</f>
        <v>17535</v>
      </c>
      <c r="E56" s="7">
        <f>[1]Sheet1!F6+[1]Sheet1!F7</f>
        <v>64374</v>
      </c>
      <c r="F56" s="8">
        <f>[1]Sheet1!F8+[1]Sheet1!F9+[1]Sheet1!F10</f>
        <v>1465065</v>
      </c>
      <c r="G56" s="7">
        <v>688766.4</v>
      </c>
      <c r="H56" s="8">
        <v>44466.5</v>
      </c>
      <c r="I56" s="7">
        <f>2459950.9-2407286.4</f>
        <v>52664.5</v>
      </c>
      <c r="J56" s="8">
        <f>2518606.65-2459950.9</f>
        <v>58655.75</v>
      </c>
      <c r="K56" s="7">
        <f>2537930.15-2518606.65</f>
        <v>19323.5</v>
      </c>
      <c r="L56" s="8"/>
      <c r="M56" s="7">
        <f>2692705.15-2537930.15</f>
        <v>154775</v>
      </c>
      <c r="N56" s="8">
        <f>1574832.69+1400000-2692705.15</f>
        <v>282127.54000000004</v>
      </c>
      <c r="O56" s="34">
        <f>SUM(C56:N56)</f>
        <v>2974832.69</v>
      </c>
    </row>
    <row r="57" spans="1:15" ht="13.2" x14ac:dyDescent="0.25">
      <c r="A57" s="9" t="s">
        <v>30</v>
      </c>
      <c r="B57" s="5" t="s">
        <v>13</v>
      </c>
      <c r="C57" s="7">
        <f>[1]Sheet1!F11+[1]Sheet1!F12+[1]Sheet1!F13+[1]Sheet1!F14+[1]Sheet1!F15</f>
        <v>131677.12</v>
      </c>
      <c r="D57" s="8">
        <f>[1]Sheet1!F16+[1]Sheet1!F17+[1]Sheet1!F18+[1]Sheet1!F19+[1]Sheet1!F20+[1]Sheet1!F21+[1]Sheet1!F22</f>
        <v>389396.5</v>
      </c>
      <c r="E57" s="7">
        <f>[1]Sheet1!F23+[1]Sheet1!F24+[1]Sheet1!F25+[1]Sheet1!F26+[1]Sheet1!F27+[1]Sheet1!F28+[1]Sheet1!F29+[1]Sheet1!F30+[1]Sheet1!F31+[1]Sheet1!F32+[1]Sheet1!F33+[1]Sheet1!F34</f>
        <v>707986</v>
      </c>
      <c r="F57" s="8">
        <f>34122+14350+4255+11779+24182+11589+33440</f>
        <v>133717</v>
      </c>
      <c r="G57" s="7">
        <v>283697.58</v>
      </c>
      <c r="H57" s="8">
        <v>266228</v>
      </c>
      <c r="I57" s="7">
        <f>2097215.32-1806018.32</f>
        <v>291196.99999999977</v>
      </c>
      <c r="J57" s="8">
        <f>2489014.32-2093715.32</f>
        <v>395298.99999999977</v>
      </c>
      <c r="K57" s="7">
        <f>2812585.32-2489014.32</f>
        <v>323571</v>
      </c>
      <c r="L57" s="8">
        <f>9620+385</f>
        <v>10005</v>
      </c>
      <c r="M57" s="7">
        <f>3260907.32-2822590.32</f>
        <v>438317</v>
      </c>
      <c r="N57" s="8">
        <f>4138101.32-3260907.32</f>
        <v>877194</v>
      </c>
      <c r="O57" s="34">
        <f t="shared" ref="O57:O73" si="3">SUM(C57:N57)</f>
        <v>4248285.2</v>
      </c>
    </row>
    <row r="58" spans="1:15" ht="13.2" x14ac:dyDescent="0.25">
      <c r="A58" s="9" t="s">
        <v>31</v>
      </c>
      <c r="B58" s="5" t="s">
        <v>14</v>
      </c>
      <c r="C58" s="7">
        <f>[1]Sheet1!F35+[1]Sheet1!F36+[1]Sheet1!F37+[1]Sheet1!F38+[1]Sheet1!F39+[1]Sheet1!F40+[1]Sheet1!F41+[1]Sheet1!F42</f>
        <v>94500</v>
      </c>
      <c r="D58" s="8"/>
      <c r="E58" s="7"/>
      <c r="F58" s="8"/>
      <c r="G58" s="7"/>
      <c r="H58" s="8"/>
      <c r="I58" s="7"/>
      <c r="J58" s="8"/>
      <c r="K58" s="7"/>
      <c r="L58" s="8"/>
      <c r="M58" s="7"/>
      <c r="N58" s="8"/>
      <c r="O58" s="34">
        <f t="shared" si="3"/>
        <v>94500</v>
      </c>
    </row>
    <row r="59" spans="1:15" ht="13.2" x14ac:dyDescent="0.25">
      <c r="A59" s="9" t="s">
        <v>32</v>
      </c>
      <c r="B59" s="5" t="s">
        <v>15</v>
      </c>
      <c r="C59" s="7">
        <f>[1]Sheet1!F45+[1]Sheet1!F46+[1]Sheet1!F47+[1]Sheet1!F48+[1]Sheet1!F49</f>
        <v>10700</v>
      </c>
      <c r="D59" s="8">
        <f>[1]Sheet1!F50+[1]Sheet1!F51</f>
        <v>2000</v>
      </c>
      <c r="E59" s="7">
        <f>[1]Sheet1!F52+[1]Sheet1!F53+[1]Sheet1!F54+[1]Sheet1!F55+[1]Sheet1!F56+[1]Sheet1!F57</f>
        <v>9000</v>
      </c>
      <c r="F59" s="8">
        <v>598000</v>
      </c>
      <c r="G59" s="7">
        <v>167000</v>
      </c>
      <c r="H59" s="8">
        <v>31000</v>
      </c>
      <c r="I59" s="7">
        <f>855700-807200</f>
        <v>48500</v>
      </c>
      <c r="J59" s="8">
        <f>1320200-866200+1500</f>
        <v>455500</v>
      </c>
      <c r="K59" s="7">
        <f>1334200-1320200</f>
        <v>14000</v>
      </c>
      <c r="L59" s="8">
        <f>1760350-1334200</f>
        <v>426150</v>
      </c>
      <c r="M59" s="7">
        <f>1815850-1760350</f>
        <v>55500</v>
      </c>
      <c r="N59" s="8">
        <f>2115450+2000-1815850</f>
        <v>301600</v>
      </c>
      <c r="O59" s="34">
        <f t="shared" si="3"/>
        <v>2118950</v>
      </c>
    </row>
    <row r="60" spans="1:15" ht="13.2" x14ac:dyDescent="0.25">
      <c r="A60" s="9" t="s">
        <v>33</v>
      </c>
      <c r="B60" s="5" t="s">
        <v>16</v>
      </c>
      <c r="C60" s="7">
        <f>[1]Sheet1!F81+[1]Sheet1!F82+[1]Sheet1!F83</f>
        <v>24333</v>
      </c>
      <c r="D60" s="8">
        <f>[1]Sheet1!F84+[1]Sheet1!F85</f>
        <v>21680</v>
      </c>
      <c r="E60" s="7">
        <f>[1]Sheet1!F86</f>
        <v>28260</v>
      </c>
      <c r="F60" s="8">
        <f>[1]Sheet1!F87</f>
        <v>6000</v>
      </c>
      <c r="G60" s="7"/>
      <c r="H60" s="8"/>
      <c r="I60" s="7"/>
      <c r="J60" s="8"/>
      <c r="K60" s="7"/>
      <c r="L60" s="8"/>
      <c r="M60" s="7"/>
      <c r="N60" s="8"/>
      <c r="O60" s="34">
        <f t="shared" si="3"/>
        <v>80273</v>
      </c>
    </row>
    <row r="61" spans="1:15" ht="13.2" x14ac:dyDescent="0.25">
      <c r="A61" s="9" t="s">
        <v>34</v>
      </c>
      <c r="B61" s="5" t="s">
        <v>27</v>
      </c>
      <c r="C61" s="7"/>
      <c r="D61" s="8"/>
      <c r="E61" s="7"/>
      <c r="F61" s="8"/>
      <c r="G61" s="7">
        <v>507500</v>
      </c>
      <c r="H61" s="8">
        <f>105000-2625</f>
        <v>102375</v>
      </c>
      <c r="I61" s="7"/>
      <c r="J61" s="8"/>
      <c r="K61" s="7"/>
      <c r="L61" s="8"/>
      <c r="M61" s="7"/>
      <c r="N61" s="8"/>
      <c r="O61" s="34">
        <f t="shared" si="3"/>
        <v>609875</v>
      </c>
    </row>
    <row r="62" spans="1:15" ht="13.2" x14ac:dyDescent="0.25">
      <c r="A62" s="9" t="s">
        <v>35</v>
      </c>
      <c r="B62" s="5" t="s">
        <v>28</v>
      </c>
      <c r="C62" s="7"/>
      <c r="D62" s="8"/>
      <c r="E62" s="7"/>
      <c r="F62" s="8">
        <f>[1]Sheet1!F93</f>
        <v>19500</v>
      </c>
      <c r="G62" s="7">
        <v>41550</v>
      </c>
      <c r="H62" s="8"/>
      <c r="I62" s="7">
        <v>32180</v>
      </c>
      <c r="J62" s="8">
        <f>132145-93230</f>
        <v>38915</v>
      </c>
      <c r="K62" s="7"/>
      <c r="L62" s="8"/>
      <c r="M62" s="7"/>
      <c r="N62" s="8"/>
      <c r="O62" s="34">
        <f t="shared" si="3"/>
        <v>132145</v>
      </c>
    </row>
    <row r="63" spans="1:15" ht="13.2" x14ac:dyDescent="0.25">
      <c r="A63" s="9" t="s">
        <v>36</v>
      </c>
      <c r="B63" s="5" t="s">
        <v>17</v>
      </c>
      <c r="C63" s="7">
        <f>[1]Sheet1!F88</f>
        <v>5300</v>
      </c>
      <c r="D63" s="8"/>
      <c r="E63" s="7"/>
      <c r="F63" s="8"/>
      <c r="G63" s="7"/>
      <c r="H63" s="8"/>
      <c r="I63" s="7"/>
      <c r="J63" s="8"/>
      <c r="K63" s="7"/>
      <c r="L63" s="8"/>
      <c r="M63" s="7"/>
      <c r="N63" s="8"/>
      <c r="O63" s="34">
        <f t="shared" si="3"/>
        <v>5300</v>
      </c>
    </row>
    <row r="64" spans="1:15" ht="13.2" x14ac:dyDescent="0.25">
      <c r="A64" s="9" t="s">
        <v>37</v>
      </c>
      <c r="B64" s="5" t="s">
        <v>56</v>
      </c>
      <c r="C64" s="7"/>
      <c r="D64" s="8">
        <f>[1]Sheet1!F89</f>
        <v>16100</v>
      </c>
      <c r="E64" s="7"/>
      <c r="F64" s="8"/>
      <c r="G64" s="7"/>
      <c r="H64" s="8">
        <v>20230</v>
      </c>
      <c r="I64" s="7"/>
      <c r="J64" s="8">
        <v>25640</v>
      </c>
      <c r="K64" s="7">
        <v>735</v>
      </c>
      <c r="L64" s="8"/>
      <c r="M64" s="7">
        <v>19300</v>
      </c>
      <c r="N64" s="8"/>
      <c r="O64" s="34">
        <f t="shared" si="3"/>
        <v>82005</v>
      </c>
    </row>
    <row r="65" spans="1:15" ht="13.2" x14ac:dyDescent="0.25">
      <c r="A65" s="9" t="s">
        <v>38</v>
      </c>
      <c r="B65" s="5" t="s">
        <v>18</v>
      </c>
      <c r="C65" s="7"/>
      <c r="D65" s="8"/>
      <c r="E65" s="7">
        <f>[1]Sheet1!F92</f>
        <v>15370</v>
      </c>
      <c r="F65" s="8"/>
      <c r="G65" s="7"/>
      <c r="H65" s="8"/>
      <c r="I65" s="7"/>
      <c r="J65" s="8"/>
      <c r="K65" s="7"/>
      <c r="L65" s="8"/>
      <c r="M65" s="7"/>
      <c r="N65" s="8"/>
      <c r="O65" s="34">
        <f t="shared" si="3"/>
        <v>15370</v>
      </c>
    </row>
    <row r="66" spans="1:15" ht="13.2" x14ac:dyDescent="0.25">
      <c r="A66" s="9" t="s">
        <v>39</v>
      </c>
      <c r="B66" s="5" t="s">
        <v>19</v>
      </c>
      <c r="C66" s="7">
        <f>[1]Sheet1!F94</f>
        <v>5000</v>
      </c>
      <c r="D66" s="8"/>
      <c r="E66" s="7"/>
      <c r="F66" s="8"/>
      <c r="G66" s="7"/>
      <c r="H66" s="8"/>
      <c r="I66" s="7"/>
      <c r="J66" s="8"/>
      <c r="K66" s="7"/>
      <c r="L66" s="8"/>
      <c r="M66" s="7"/>
      <c r="N66" s="8"/>
      <c r="O66" s="34">
        <f t="shared" si="3"/>
        <v>5000</v>
      </c>
    </row>
    <row r="67" spans="1:15" ht="13.2" x14ac:dyDescent="0.25">
      <c r="A67" s="9" t="s">
        <v>40</v>
      </c>
      <c r="B67" s="5" t="s">
        <v>20</v>
      </c>
      <c r="C67" s="7">
        <f>[1]Sheet1!F95+[1]Sheet1!F96+[1]Sheet1!F97+[1]Sheet1!F98+[1]Sheet1!F99+[1]Sheet1!F100+[1]Sheet1!F101+[1]Sheet1!F102+[1]Sheet1!F103+[1]Sheet1!F104+[1]Sheet1!F105+[1]Sheet1!F106+[1]Sheet1!F107+[1]Sheet1!F108+[1]Sheet1!F109+[1]Sheet1!F110+[1]Sheet1!F111+[1]Sheet1!F112+[1]Sheet1!F113+[1]Sheet1!F114</f>
        <v>43950</v>
      </c>
      <c r="D67" s="8">
        <f>[1]Sheet1!F115+[1]Sheet1!F116+[1]Sheet1!F117+[1]Sheet1!F118+[1]Sheet1!F119+[1]Sheet1!F120+[1]Sheet1!F121+[1]Sheet1!F122+[1]Sheet1!F123+[1]Sheet1!F124+[1]Sheet1!F125+[1]Sheet1!F126+[1]Sheet1!F127+[1]Sheet1!F128+[1]Sheet1!F129+[1]Sheet1!F130+[1]Sheet1!F131+[1]Sheet1!F132+[1]Sheet1!F133+[1]Sheet1!F134+[1]Sheet1!F135</f>
        <v>59950</v>
      </c>
      <c r="E67" s="7">
        <f>[1]Sheet1!F136+[1]Sheet1!F137+[1]Sheet1!F138+[1]Sheet1!F139+[1]Sheet1!F140+[1]Sheet1!F141+[1]Sheet1!F142+[1]Sheet1!F143+[1]Sheet1!F144+[1]Sheet1!F145+[1]Sheet1!F146+[1]Sheet1!F147+[1]Sheet1!F148+[1]Sheet1!F149+[1]Sheet1!F150+[1]Sheet1!F151</f>
        <v>4000</v>
      </c>
      <c r="F67" s="8">
        <v>60100</v>
      </c>
      <c r="G67" s="7"/>
      <c r="H67" s="8"/>
      <c r="I67" s="7"/>
      <c r="J67" s="8"/>
      <c r="K67" s="7"/>
      <c r="L67" s="8"/>
      <c r="M67" s="7"/>
      <c r="N67" s="8"/>
      <c r="O67" s="34">
        <f t="shared" si="3"/>
        <v>168000</v>
      </c>
    </row>
    <row r="68" spans="1:15" ht="13.2" x14ac:dyDescent="0.25">
      <c r="A68" s="9" t="s">
        <v>41</v>
      </c>
      <c r="B68" s="5" t="s">
        <v>0</v>
      </c>
      <c r="C68" s="7">
        <f>[1]Sheet1!F171+[1]Sheet1!F172</f>
        <v>50097</v>
      </c>
      <c r="D68" s="8">
        <f>[1]Sheet1!F173</f>
        <v>3000</v>
      </c>
      <c r="E68" s="7">
        <f>[1]Sheet1!F174</f>
        <v>9000</v>
      </c>
      <c r="F68" s="8"/>
      <c r="G68" s="7"/>
      <c r="H68" s="8"/>
      <c r="I68" s="7"/>
      <c r="J68" s="8"/>
      <c r="K68" s="7"/>
      <c r="L68" s="8"/>
      <c r="M68" s="7"/>
      <c r="N68" s="8"/>
      <c r="O68" s="34">
        <f t="shared" si="3"/>
        <v>62097</v>
      </c>
    </row>
    <row r="69" spans="1:15" ht="13.2" x14ac:dyDescent="0.25">
      <c r="A69" s="9" t="s">
        <v>42</v>
      </c>
      <c r="B69" s="5" t="s">
        <v>21</v>
      </c>
      <c r="C69" s="7"/>
      <c r="D69" s="8">
        <f>[1]Sheet1!F175</f>
        <v>2205</v>
      </c>
      <c r="E69" s="7"/>
      <c r="F69" s="8"/>
      <c r="G69" s="7">
        <v>5935</v>
      </c>
      <c r="H69" s="8">
        <v>29000</v>
      </c>
      <c r="I69" s="7"/>
      <c r="J69" s="8"/>
      <c r="K69" s="7"/>
      <c r="L69" s="8"/>
      <c r="M69" s="7">
        <f>45047.5-37140</f>
        <v>7907.5</v>
      </c>
      <c r="N69" s="8">
        <v>8995</v>
      </c>
      <c r="O69" s="34">
        <f t="shared" si="3"/>
        <v>54042.5</v>
      </c>
    </row>
    <row r="70" spans="1:15" ht="13.2" x14ac:dyDescent="0.25">
      <c r="A70" s="9" t="s">
        <v>43</v>
      </c>
      <c r="B70" s="5" t="s">
        <v>46</v>
      </c>
      <c r="C70" s="7"/>
      <c r="D70" s="8"/>
      <c r="E70" s="7"/>
      <c r="F70" s="8">
        <v>600</v>
      </c>
      <c r="G70" s="7"/>
      <c r="H70" s="8"/>
      <c r="I70" s="7"/>
      <c r="J70" s="8"/>
      <c r="K70" s="7"/>
      <c r="L70" s="8"/>
      <c r="M70" s="7"/>
      <c r="N70" s="8"/>
      <c r="O70" s="34">
        <f t="shared" si="3"/>
        <v>600</v>
      </c>
    </row>
    <row r="71" spans="1:15" ht="13.2" x14ac:dyDescent="0.25">
      <c r="A71" s="9" t="s">
        <v>44</v>
      </c>
      <c r="B71" s="5" t="s">
        <v>47</v>
      </c>
      <c r="C71" s="7"/>
      <c r="D71" s="8"/>
      <c r="E71" s="7"/>
      <c r="F71" s="8">
        <f>[1]Sheet1!F44</f>
        <v>17924</v>
      </c>
      <c r="G71" s="7"/>
      <c r="H71" s="8"/>
      <c r="I71" s="7"/>
      <c r="J71" s="8">
        <v>3655</v>
      </c>
      <c r="K71" s="7">
        <v>1600</v>
      </c>
      <c r="L71" s="8">
        <v>4000</v>
      </c>
      <c r="M71" s="7"/>
      <c r="N71" s="8"/>
      <c r="O71" s="34">
        <f t="shared" si="3"/>
        <v>27179</v>
      </c>
    </row>
    <row r="72" spans="1:15" ht="13.2" x14ac:dyDescent="0.25">
      <c r="A72" s="9" t="s">
        <v>45</v>
      </c>
      <c r="B72" s="5" t="s">
        <v>55</v>
      </c>
      <c r="C72" s="7"/>
      <c r="D72" s="8"/>
      <c r="E72" s="7"/>
      <c r="F72" s="8">
        <v>46200</v>
      </c>
      <c r="G72" s="7"/>
      <c r="H72" s="8"/>
      <c r="I72" s="7"/>
      <c r="J72" s="8"/>
      <c r="K72" s="7"/>
      <c r="L72" s="8"/>
      <c r="M72" s="7"/>
      <c r="N72" s="8"/>
      <c r="O72" s="34">
        <f t="shared" si="3"/>
        <v>46200</v>
      </c>
    </row>
    <row r="73" spans="1:15" ht="13.2" x14ac:dyDescent="0.25">
      <c r="A73" s="9" t="s">
        <v>54</v>
      </c>
      <c r="B73" s="5" t="s">
        <v>22</v>
      </c>
      <c r="C73" s="7">
        <v>18100</v>
      </c>
      <c r="D73" s="8"/>
      <c r="E73" s="7"/>
      <c r="F73" s="8"/>
      <c r="G73" s="7"/>
      <c r="H73" s="8"/>
      <c r="I73" s="7"/>
      <c r="J73" s="8"/>
      <c r="K73" s="7"/>
      <c r="L73" s="8"/>
      <c r="M73" s="7"/>
      <c r="N73" s="8">
        <v>204412</v>
      </c>
      <c r="O73" s="34">
        <f t="shared" si="3"/>
        <v>222512</v>
      </c>
    </row>
    <row r="74" spans="1:15" ht="13.2" x14ac:dyDescent="0.25">
      <c r="A74" s="4"/>
      <c r="B74" s="10" t="s">
        <v>23</v>
      </c>
      <c r="C74" s="23">
        <f t="shared" ref="C74:F74" si="4">SUM(C56:C73)</f>
        <v>510736.62</v>
      </c>
      <c r="D74" s="32">
        <f t="shared" si="4"/>
        <v>511866.5</v>
      </c>
      <c r="E74" s="23">
        <f t="shared" si="4"/>
        <v>837990</v>
      </c>
      <c r="F74" s="32">
        <f t="shared" si="4"/>
        <v>2347106</v>
      </c>
      <c r="G74" s="23">
        <f>SUM(G56:G73)</f>
        <v>1694448.98</v>
      </c>
      <c r="H74" s="32">
        <f>SUM(H56:H73)</f>
        <v>493299.5</v>
      </c>
      <c r="I74" s="23">
        <f>SUM(I54:I73)</f>
        <v>424541.49999999977</v>
      </c>
      <c r="J74" s="23">
        <f t="shared" ref="J74:N74" si="5">SUM(J54:J73)</f>
        <v>977664.74999999977</v>
      </c>
      <c r="K74" s="23">
        <f t="shared" si="5"/>
        <v>359229.5</v>
      </c>
      <c r="L74" s="23">
        <f t="shared" si="5"/>
        <v>440155</v>
      </c>
      <c r="M74" s="23">
        <f t="shared" si="5"/>
        <v>675799.5</v>
      </c>
      <c r="N74" s="23">
        <f t="shared" si="5"/>
        <v>1674328.54</v>
      </c>
      <c r="O74" s="29">
        <f>SUM(O54:O73)</f>
        <v>10947166.390000001</v>
      </c>
    </row>
    <row r="75" spans="1:15" ht="13.2" x14ac:dyDescent="0.25">
      <c r="A75" s="3" t="s">
        <v>24</v>
      </c>
      <c r="B75" s="11"/>
      <c r="C75" s="12"/>
      <c r="D75" s="12"/>
      <c r="E75" s="12"/>
      <c r="F75" s="12"/>
      <c r="G75" s="12" t="s">
        <v>57</v>
      </c>
      <c r="H75" s="12"/>
      <c r="I75" s="12"/>
      <c r="J75" s="12"/>
      <c r="K75" s="12"/>
      <c r="L75" s="24"/>
      <c r="M75" s="24"/>
      <c r="N75" s="24"/>
      <c r="O75" s="25"/>
    </row>
    <row r="76" spans="1:15" ht="13.2" x14ac:dyDescent="0.25">
      <c r="A76" s="4"/>
      <c r="B76" s="2"/>
      <c r="C76" s="7"/>
      <c r="D76" s="7"/>
      <c r="E76" s="7"/>
      <c r="F76" s="7"/>
      <c r="G76" s="7"/>
      <c r="H76" s="7"/>
      <c r="I76" s="7"/>
      <c r="J76" s="7"/>
      <c r="K76" s="7"/>
      <c r="O76" s="26"/>
    </row>
    <row r="77" spans="1:15" ht="13.2" x14ac:dyDescent="0.25">
      <c r="A77" s="4"/>
      <c r="B77" s="14"/>
      <c r="C77" s="7"/>
      <c r="D77" s="7"/>
      <c r="E77" s="7"/>
      <c r="F77" s="7"/>
      <c r="G77" s="7"/>
      <c r="H77" s="15"/>
      <c r="I77" s="15"/>
      <c r="J77" s="15"/>
      <c r="K77" s="7"/>
      <c r="O77" s="26"/>
    </row>
    <row r="78" spans="1:15" ht="13.2" x14ac:dyDescent="0.25">
      <c r="A78" s="98" t="s">
        <v>64</v>
      </c>
      <c r="B78" s="99"/>
      <c r="C78" s="7"/>
      <c r="D78" s="7"/>
      <c r="E78" s="7"/>
      <c r="F78" s="7"/>
      <c r="G78" s="7"/>
      <c r="H78" s="91" t="s">
        <v>65</v>
      </c>
      <c r="I78" s="91"/>
      <c r="J78" s="91"/>
      <c r="K78" s="7"/>
      <c r="O78" s="26"/>
    </row>
    <row r="79" spans="1:15" ht="13.2" x14ac:dyDescent="0.25">
      <c r="A79" s="98" t="s">
        <v>25</v>
      </c>
      <c r="B79" s="99"/>
      <c r="C79" s="7"/>
      <c r="D79" s="7"/>
      <c r="E79" s="7"/>
      <c r="F79" s="7"/>
      <c r="G79" s="7"/>
      <c r="H79" s="91" t="s">
        <v>58</v>
      </c>
      <c r="I79" s="91"/>
      <c r="J79" s="91"/>
      <c r="K79" s="7"/>
      <c r="O79" s="26"/>
    </row>
    <row r="80" spans="1:15" ht="13.2" x14ac:dyDescent="0.25">
      <c r="A80" s="96" t="s">
        <v>26</v>
      </c>
      <c r="B80" s="97"/>
      <c r="C80" s="15"/>
      <c r="D80" s="15"/>
      <c r="E80" s="15"/>
      <c r="F80" s="15"/>
      <c r="G80" s="15"/>
      <c r="H80" s="15" t="s">
        <v>26</v>
      </c>
      <c r="I80" s="15"/>
      <c r="J80" s="15"/>
      <c r="K80" s="15"/>
      <c r="L80" s="27"/>
      <c r="M80" s="27"/>
      <c r="N80" s="27"/>
      <c r="O80" s="28"/>
    </row>
    <row r="81" spans="1:15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1:15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1:15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1:15" ht="13.2" x14ac:dyDescent="0.25">
      <c r="A84" s="92" t="s">
        <v>80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1:15" ht="13.2" x14ac:dyDescent="0.25">
      <c r="A85" s="92" t="s">
        <v>87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1:15" ht="13.2" x14ac:dyDescent="0.25">
      <c r="A86" s="92" t="s">
        <v>2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5" ht="13.2" x14ac:dyDescent="0.25">
      <c r="A87" s="2" t="s">
        <v>3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</row>
    <row r="88" spans="1:15" ht="13.2" x14ac:dyDescent="0.25">
      <c r="A88" s="2" t="s">
        <v>4</v>
      </c>
      <c r="B88" s="2"/>
      <c r="C88" s="2" t="s">
        <v>6</v>
      </c>
      <c r="D88" s="2"/>
      <c r="E88" s="2"/>
      <c r="F88" s="2"/>
      <c r="G88" s="2"/>
      <c r="H88" s="2"/>
      <c r="I88" s="2"/>
      <c r="J88" s="2"/>
      <c r="K88" s="2"/>
    </row>
    <row r="89" spans="1:15" ht="13.2" x14ac:dyDescent="0.25">
      <c r="A89" s="2" t="s">
        <v>5</v>
      </c>
      <c r="B89" s="2"/>
      <c r="C89" s="16" t="s">
        <v>63</v>
      </c>
      <c r="D89" s="2"/>
      <c r="E89" s="2"/>
      <c r="F89" s="2"/>
      <c r="G89" s="2"/>
      <c r="H89" s="2"/>
      <c r="I89" s="2"/>
      <c r="J89" s="2"/>
      <c r="K89" s="2"/>
    </row>
    <row r="90" spans="1:15" ht="13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5" ht="13.2" x14ac:dyDescent="0.25">
      <c r="A91" s="37" t="s">
        <v>8</v>
      </c>
      <c r="B91" s="39"/>
      <c r="C91" s="17" t="s">
        <v>48</v>
      </c>
      <c r="D91" s="22" t="s">
        <v>49</v>
      </c>
      <c r="E91" s="18" t="s">
        <v>50</v>
      </c>
      <c r="F91" s="22" t="s">
        <v>51</v>
      </c>
      <c r="G91" s="18" t="s">
        <v>52</v>
      </c>
      <c r="H91" s="22" t="s">
        <v>53</v>
      </c>
      <c r="I91" s="17" t="s">
        <v>66</v>
      </c>
      <c r="J91" s="22" t="s">
        <v>67</v>
      </c>
      <c r="K91" s="17" t="s">
        <v>68</v>
      </c>
      <c r="L91" s="22" t="s">
        <v>69</v>
      </c>
      <c r="M91" s="17" t="s">
        <v>70</v>
      </c>
      <c r="N91" s="22" t="s">
        <v>71</v>
      </c>
      <c r="O91" s="33" t="s">
        <v>23</v>
      </c>
    </row>
    <row r="92" spans="1:15" ht="13.2" x14ac:dyDescent="0.25">
      <c r="A92" s="3" t="s">
        <v>9</v>
      </c>
      <c r="B92" s="5"/>
      <c r="C92" s="7"/>
      <c r="D92" s="8"/>
      <c r="E92" s="7"/>
      <c r="F92" s="8"/>
      <c r="G92" s="7"/>
      <c r="H92" s="8"/>
      <c r="I92" s="7"/>
      <c r="J92" s="8"/>
      <c r="K92" s="7"/>
      <c r="L92" s="8"/>
      <c r="M92" s="7"/>
      <c r="N92" s="8"/>
      <c r="O92" s="34"/>
    </row>
    <row r="93" spans="1:15" ht="13.2" x14ac:dyDescent="0.25">
      <c r="A93" s="4"/>
      <c r="B93" s="5"/>
      <c r="C93" s="7"/>
      <c r="D93" s="8"/>
      <c r="E93" s="7"/>
      <c r="F93" s="8"/>
      <c r="G93" s="7"/>
      <c r="H93" s="8"/>
      <c r="I93" s="7"/>
      <c r="J93" s="8"/>
      <c r="K93" s="7"/>
      <c r="L93" s="8"/>
      <c r="M93" s="7"/>
      <c r="N93" s="8"/>
      <c r="O93" s="34"/>
    </row>
    <row r="94" spans="1:15" ht="13.2" x14ac:dyDescent="0.25">
      <c r="A94" s="4" t="s">
        <v>10</v>
      </c>
      <c r="B94" s="5"/>
      <c r="C94" s="7"/>
      <c r="D94" s="8"/>
      <c r="E94" s="7"/>
      <c r="F94" s="8"/>
      <c r="G94" s="7"/>
      <c r="H94" s="8"/>
      <c r="I94" s="7"/>
      <c r="J94" s="8"/>
      <c r="K94" s="7"/>
      <c r="L94" s="8"/>
      <c r="M94" s="7"/>
      <c r="N94" s="8"/>
      <c r="O94" s="34"/>
    </row>
    <row r="95" spans="1:15" ht="13.2" x14ac:dyDescent="0.25">
      <c r="A95" s="4"/>
      <c r="B95" s="5"/>
      <c r="C95" s="7"/>
      <c r="D95" s="8"/>
      <c r="E95" s="7"/>
      <c r="F95" s="8"/>
      <c r="G95" s="7"/>
      <c r="H95" s="8"/>
      <c r="I95" s="7"/>
      <c r="J95" s="8"/>
      <c r="K95" s="7"/>
      <c r="L95" s="8"/>
      <c r="M95" s="7"/>
      <c r="N95" s="8"/>
      <c r="O95" s="34"/>
    </row>
    <row r="96" spans="1:15" ht="13.2" x14ac:dyDescent="0.25">
      <c r="A96" s="4" t="s">
        <v>11</v>
      </c>
      <c r="B96" s="5"/>
      <c r="C96" s="7"/>
      <c r="D96" s="8"/>
      <c r="E96" s="7"/>
      <c r="F96" s="8"/>
      <c r="G96" s="7"/>
      <c r="H96" s="8"/>
      <c r="I96" s="7"/>
      <c r="J96" s="8"/>
      <c r="K96" s="7"/>
      <c r="L96" s="8"/>
      <c r="M96" s="7"/>
      <c r="N96" s="8"/>
      <c r="O96" s="34"/>
    </row>
    <row r="97" spans="1:15" ht="13.2" x14ac:dyDescent="0.25">
      <c r="A97" s="9" t="s">
        <v>29</v>
      </c>
      <c r="B97" s="5" t="s">
        <v>12</v>
      </c>
      <c r="C97" s="7">
        <v>112994.11</v>
      </c>
      <c r="D97" s="8">
        <f>228752.34-C97</f>
        <v>115758.23</v>
      </c>
      <c r="E97" s="7">
        <f>316513.09-194554.09</f>
        <v>121959.00000000003</v>
      </c>
      <c r="F97" s="8">
        <f>399908.54-316513.09</f>
        <v>83395.449999999953</v>
      </c>
      <c r="G97" s="7">
        <f>491790.86-399908.54</f>
        <v>91882.32</v>
      </c>
      <c r="H97" s="8">
        <f>578081.73-491790.86</f>
        <v>86290.87</v>
      </c>
      <c r="I97" s="7">
        <f>679820.04-578081.73</f>
        <v>101738.31000000006</v>
      </c>
      <c r="J97" s="8">
        <f>762326.36-679820.04</f>
        <v>82506.319999999949</v>
      </c>
      <c r="K97" s="7">
        <f>818729.41-762326.36</f>
        <v>56403.050000000047</v>
      </c>
      <c r="L97" s="8">
        <v>33058.339999999997</v>
      </c>
      <c r="M97" s="7">
        <f>931522.14-851787.75</f>
        <v>79734.390000000014</v>
      </c>
      <c r="N97" s="8">
        <f>1048752.86-931522.14</f>
        <v>117230.72000000009</v>
      </c>
      <c r="O97" s="34">
        <f>SUM(C97:N97)</f>
        <v>1082951.1100000001</v>
      </c>
    </row>
    <row r="98" spans="1:15" ht="13.2" x14ac:dyDescent="0.25">
      <c r="A98" s="9" t="s">
        <v>30</v>
      </c>
      <c r="B98" s="5" t="s">
        <v>13</v>
      </c>
      <c r="C98" s="7">
        <v>340493.5</v>
      </c>
      <c r="D98" s="8">
        <f>628082.5-C98</f>
        <v>287589</v>
      </c>
      <c r="E98" s="7">
        <f>1066289.5-623276.5</f>
        <v>443013</v>
      </c>
      <c r="F98" s="8">
        <f>1639389.5-1308602.5</f>
        <v>330787</v>
      </c>
      <c r="G98" s="7">
        <f>2086328-1639389.5</f>
        <v>446938.5</v>
      </c>
      <c r="H98" s="8">
        <f>2504222.2-2086328</f>
        <v>417894.20000000019</v>
      </c>
      <c r="I98" s="7">
        <f>2874127.2-2504222.2</f>
        <v>369905</v>
      </c>
      <c r="J98" s="8">
        <f>3387846.7-2874127.2</f>
        <v>513719.5</v>
      </c>
      <c r="K98" s="7">
        <f>3882972.7-3571273.7</f>
        <v>311699</v>
      </c>
      <c r="L98" s="8">
        <f>4251769.2-3882972.7</f>
        <v>368796.5</v>
      </c>
      <c r="M98" s="7">
        <f>4590576.45-4251769.2</f>
        <v>338807.25</v>
      </c>
      <c r="N98" s="8">
        <f>4821919.45-4590576.45</f>
        <v>231343</v>
      </c>
      <c r="O98" s="34">
        <f t="shared" ref="O98:O114" si="6">SUM(C98:N98)</f>
        <v>4400985.45</v>
      </c>
    </row>
    <row r="99" spans="1:15" ht="13.2" x14ac:dyDescent="0.25">
      <c r="A99" s="9" t="s">
        <v>31</v>
      </c>
      <c r="B99" s="5" t="s">
        <v>83</v>
      </c>
      <c r="C99" s="7"/>
      <c r="D99" s="8"/>
      <c r="E99" s="7"/>
      <c r="F99" s="8"/>
      <c r="G99" s="7"/>
      <c r="H99" s="8"/>
      <c r="I99" s="7"/>
      <c r="J99" s="8"/>
      <c r="K99" s="7"/>
      <c r="L99" s="8">
        <v>65000</v>
      </c>
      <c r="M99" s="7"/>
      <c r="N99" s="8"/>
      <c r="O99" s="34">
        <f t="shared" si="6"/>
        <v>65000</v>
      </c>
    </row>
    <row r="100" spans="1:15" ht="13.2" x14ac:dyDescent="0.25">
      <c r="A100" s="9" t="s">
        <v>32</v>
      </c>
      <c r="B100" s="5" t="s">
        <v>15</v>
      </c>
      <c r="C100" s="7">
        <v>12500</v>
      </c>
      <c r="D100" s="8">
        <f>29500-C100</f>
        <v>17000</v>
      </c>
      <c r="E100" s="7">
        <f>41500-29500</f>
        <v>12000</v>
      </c>
      <c r="F100" s="8"/>
      <c r="G100" s="7">
        <f>853500-39000</f>
        <v>814500</v>
      </c>
      <c r="H100" s="8">
        <f>898823-853500</f>
        <v>45323</v>
      </c>
      <c r="I100" s="7">
        <f>922823-898823</f>
        <v>24000</v>
      </c>
      <c r="J100" s="8"/>
      <c r="K100" s="7">
        <f>1412823-1397823</f>
        <v>15000</v>
      </c>
      <c r="L100" s="8">
        <f>1806888.05-1407823</f>
        <v>399065.05000000005</v>
      </c>
      <c r="M100" s="7">
        <f>1880388.05-1806888.05+3000</f>
        <v>76500</v>
      </c>
      <c r="N100" s="8">
        <f>2149588.05-1880388.05</f>
        <v>269199.99999999977</v>
      </c>
      <c r="O100" s="34">
        <f t="shared" si="6"/>
        <v>1685088.0499999998</v>
      </c>
    </row>
    <row r="101" spans="1:15" ht="13.2" x14ac:dyDescent="0.25">
      <c r="A101" s="9" t="s">
        <v>33</v>
      </c>
      <c r="B101" s="5" t="s">
        <v>16</v>
      </c>
      <c r="C101" s="7"/>
      <c r="D101" s="8"/>
      <c r="E101" s="7"/>
      <c r="F101" s="8"/>
      <c r="G101" s="7">
        <v>62565</v>
      </c>
      <c r="H101" s="8">
        <v>67685</v>
      </c>
      <c r="I101" s="7">
        <f>7960+40000</f>
        <v>47960</v>
      </c>
      <c r="J101" s="8">
        <f>1398823-922823</f>
        <v>476000</v>
      </c>
      <c r="K101" s="7">
        <v>64685</v>
      </c>
      <c r="L101" s="8">
        <v>34395</v>
      </c>
      <c r="M101" s="7">
        <v>54225</v>
      </c>
      <c r="N101" s="8">
        <v>109556</v>
      </c>
      <c r="O101" s="34">
        <f t="shared" si="6"/>
        <v>917071</v>
      </c>
    </row>
    <row r="102" spans="1:15" ht="13.2" x14ac:dyDescent="0.25">
      <c r="A102" s="9" t="s">
        <v>34</v>
      </c>
      <c r="B102" s="5" t="s">
        <v>27</v>
      </c>
      <c r="C102" s="7">
        <v>224000</v>
      </c>
      <c r="D102" s="8">
        <f>301000-C102</f>
        <v>77000</v>
      </c>
      <c r="E102" s="7"/>
      <c r="F102" s="8"/>
      <c r="G102" s="7"/>
      <c r="H102" s="8">
        <f>794500-276500</f>
        <v>518000</v>
      </c>
      <c r="I102" s="7">
        <f>1175939-794500</f>
        <v>381439</v>
      </c>
      <c r="J102" s="8"/>
      <c r="K102" s="7">
        <v>3500</v>
      </c>
      <c r="L102" s="8"/>
      <c r="M102" s="7"/>
      <c r="N102" s="8"/>
      <c r="O102" s="34">
        <f t="shared" si="6"/>
        <v>1203939</v>
      </c>
    </row>
    <row r="103" spans="1:15" ht="13.2" x14ac:dyDescent="0.25">
      <c r="A103" s="9" t="s">
        <v>35</v>
      </c>
      <c r="B103" s="5" t="s">
        <v>28</v>
      </c>
      <c r="C103" s="7">
        <v>13670</v>
      </c>
      <c r="D103" s="8">
        <f>33040-C103</f>
        <v>19370</v>
      </c>
      <c r="E103" s="7">
        <v>18995</v>
      </c>
      <c r="F103" s="8">
        <v>14950</v>
      </c>
      <c r="G103" s="7">
        <v>19730</v>
      </c>
      <c r="H103" s="8">
        <v>14380</v>
      </c>
      <c r="I103" s="7">
        <v>15375</v>
      </c>
      <c r="J103" s="8">
        <v>15375</v>
      </c>
      <c r="K103" s="7">
        <v>15960</v>
      </c>
      <c r="L103" s="8">
        <v>30790</v>
      </c>
      <c r="M103" s="7">
        <v>16920</v>
      </c>
      <c r="N103" s="8">
        <v>22150</v>
      </c>
      <c r="O103" s="34">
        <f t="shared" si="6"/>
        <v>217665</v>
      </c>
    </row>
    <row r="104" spans="1:15" ht="13.2" x14ac:dyDescent="0.25">
      <c r="A104" s="9" t="s">
        <v>36</v>
      </c>
      <c r="B104" s="5" t="s">
        <v>17</v>
      </c>
      <c r="C104" s="7">
        <v>2000</v>
      </c>
      <c r="D104" s="8"/>
      <c r="E104" s="7"/>
      <c r="F104" s="8"/>
      <c r="G104" s="7"/>
      <c r="H104" s="8">
        <v>500</v>
      </c>
      <c r="I104" s="7"/>
      <c r="J104" s="8"/>
      <c r="K104" s="7"/>
      <c r="L104" s="8"/>
      <c r="M104" s="7"/>
      <c r="N104" s="8"/>
      <c r="O104" s="34">
        <f t="shared" si="6"/>
        <v>2500</v>
      </c>
    </row>
    <row r="105" spans="1:15" ht="13.2" x14ac:dyDescent="0.25">
      <c r="A105" s="9" t="s">
        <v>37</v>
      </c>
      <c r="B105" s="5" t="s">
        <v>56</v>
      </c>
      <c r="C105" s="7">
        <v>57430</v>
      </c>
      <c r="D105" s="8">
        <f>66730-C105</f>
        <v>9300</v>
      </c>
      <c r="E105" s="7">
        <f>80185-66730</f>
        <v>13455</v>
      </c>
      <c r="F105" s="8">
        <f>97127-80185</f>
        <v>16942</v>
      </c>
      <c r="G105" s="7">
        <v>43500</v>
      </c>
      <c r="H105" s="8">
        <f>9250+900</f>
        <v>10150</v>
      </c>
      <c r="I105" s="7">
        <v>115275</v>
      </c>
      <c r="J105" s="8">
        <v>12000</v>
      </c>
      <c r="K105" s="7">
        <v>81925</v>
      </c>
      <c r="L105" s="8"/>
      <c r="M105" s="7">
        <v>22000</v>
      </c>
      <c r="N105" s="8">
        <v>4500</v>
      </c>
      <c r="O105" s="34">
        <f t="shared" si="6"/>
        <v>386477</v>
      </c>
    </row>
    <row r="106" spans="1:15" ht="13.2" x14ac:dyDescent="0.25">
      <c r="A106" s="9" t="s">
        <v>38</v>
      </c>
      <c r="B106" s="5" t="s">
        <v>82</v>
      </c>
      <c r="C106" s="7"/>
      <c r="D106" s="8"/>
      <c r="E106" s="7"/>
      <c r="F106" s="8"/>
      <c r="G106" s="7"/>
      <c r="H106" s="8">
        <v>4410</v>
      </c>
      <c r="I106" s="7"/>
      <c r="J106" s="8"/>
      <c r="K106" s="7"/>
      <c r="L106" s="8">
        <v>2700</v>
      </c>
      <c r="M106" s="7"/>
      <c r="N106" s="8"/>
      <c r="O106" s="34">
        <f t="shared" si="6"/>
        <v>7110</v>
      </c>
    </row>
    <row r="107" spans="1:15" ht="13.2" x14ac:dyDescent="0.25">
      <c r="A107" s="9" t="s">
        <v>39</v>
      </c>
      <c r="B107" s="5" t="s">
        <v>81</v>
      </c>
      <c r="C107" s="7">
        <v>24900</v>
      </c>
      <c r="D107" s="8"/>
      <c r="E107" s="7"/>
      <c r="F107" s="8"/>
      <c r="G107" s="7"/>
      <c r="H107" s="8"/>
      <c r="I107" s="7"/>
      <c r="J107" s="8"/>
      <c r="K107" s="7"/>
      <c r="L107" s="8"/>
      <c r="M107" s="7"/>
      <c r="N107" s="8"/>
      <c r="O107" s="34">
        <f t="shared" si="6"/>
        <v>24900</v>
      </c>
    </row>
    <row r="108" spans="1:15" ht="13.2" x14ac:dyDescent="0.25">
      <c r="A108" s="9" t="s">
        <v>40</v>
      </c>
      <c r="B108" s="5" t="s">
        <v>84</v>
      </c>
      <c r="C108" s="7"/>
      <c r="D108" s="8"/>
      <c r="E108" s="7"/>
      <c r="F108" s="8"/>
      <c r="G108" s="7"/>
      <c r="H108" s="8"/>
      <c r="I108" s="7"/>
      <c r="J108" s="8"/>
      <c r="K108" s="7"/>
      <c r="L108" s="8"/>
      <c r="M108" s="7">
        <v>26200</v>
      </c>
      <c r="N108" s="8"/>
      <c r="O108" s="34">
        <f t="shared" si="6"/>
        <v>26200</v>
      </c>
    </row>
    <row r="109" spans="1:15" ht="13.2" x14ac:dyDescent="0.25">
      <c r="A109" s="9" t="s">
        <v>41</v>
      </c>
      <c r="B109" s="5" t="s">
        <v>76</v>
      </c>
      <c r="C109" s="7"/>
      <c r="D109" s="8"/>
      <c r="E109" s="7"/>
      <c r="F109" s="8"/>
      <c r="G109" s="7"/>
      <c r="H109" s="8">
        <v>2000</v>
      </c>
      <c r="I109" s="7">
        <v>1800</v>
      </c>
      <c r="J109" s="8">
        <v>1600</v>
      </c>
      <c r="K109" s="7">
        <v>121000</v>
      </c>
      <c r="L109" s="8">
        <v>500</v>
      </c>
      <c r="M109" s="7"/>
      <c r="N109" s="8"/>
      <c r="O109" s="34">
        <f t="shared" si="6"/>
        <v>126900</v>
      </c>
    </row>
    <row r="110" spans="1:15" ht="13.2" x14ac:dyDescent="0.25">
      <c r="A110" s="9" t="s">
        <v>42</v>
      </c>
      <c r="B110" s="5" t="s">
        <v>21</v>
      </c>
      <c r="C110" s="7">
        <v>4935</v>
      </c>
      <c r="D110" s="8"/>
      <c r="E110" s="7"/>
      <c r="F110" s="8"/>
      <c r="G110" s="7"/>
      <c r="H110" s="8"/>
      <c r="I110" s="7"/>
      <c r="J110" s="8"/>
      <c r="K110" s="7">
        <v>28840</v>
      </c>
      <c r="L110" s="8"/>
      <c r="M110" s="7">
        <f>8365+2380</f>
        <v>10745</v>
      </c>
      <c r="N110" s="8">
        <v>9415</v>
      </c>
      <c r="O110" s="34">
        <f t="shared" si="6"/>
        <v>53935</v>
      </c>
    </row>
    <row r="111" spans="1:15" ht="13.2" x14ac:dyDescent="0.25">
      <c r="A111" s="9" t="s">
        <v>43</v>
      </c>
      <c r="B111" s="5" t="s">
        <v>60</v>
      </c>
      <c r="C111" s="7">
        <v>187500</v>
      </c>
      <c r="D111" s="8"/>
      <c r="E111" s="7"/>
      <c r="F111" s="8"/>
      <c r="G111" s="7"/>
      <c r="H111" s="8"/>
      <c r="I111" s="7"/>
      <c r="J111" s="8"/>
      <c r="K111" s="7"/>
      <c r="L111" s="8">
        <v>187500</v>
      </c>
      <c r="M111" s="7"/>
      <c r="N111" s="8"/>
      <c r="O111" s="34">
        <f t="shared" si="6"/>
        <v>375000</v>
      </c>
    </row>
    <row r="112" spans="1:15" ht="13.2" x14ac:dyDescent="0.25">
      <c r="A112" s="9" t="s">
        <v>44</v>
      </c>
      <c r="B112" s="5" t="s">
        <v>47</v>
      </c>
      <c r="C112" s="7"/>
      <c r="D112" s="8"/>
      <c r="E112" s="7"/>
      <c r="F112" s="8"/>
      <c r="G112" s="7"/>
      <c r="H112" s="8">
        <v>12000</v>
      </c>
      <c r="I112" s="7"/>
      <c r="J112" s="8"/>
      <c r="K112" s="7"/>
      <c r="L112" s="8"/>
      <c r="M112" s="7"/>
      <c r="N112" s="8"/>
      <c r="O112" s="34">
        <f t="shared" si="6"/>
        <v>12000</v>
      </c>
    </row>
    <row r="113" spans="1:15" ht="13.2" x14ac:dyDescent="0.25">
      <c r="A113" s="9" t="s">
        <v>45</v>
      </c>
      <c r="B113" s="5" t="s">
        <v>55</v>
      </c>
      <c r="C113" s="7"/>
      <c r="D113" s="8"/>
      <c r="E113" s="7"/>
      <c r="F113" s="8"/>
      <c r="G113" s="7"/>
      <c r="H113" s="8"/>
      <c r="I113" s="7"/>
      <c r="J113" s="8"/>
      <c r="K113" s="7"/>
      <c r="L113" s="8"/>
      <c r="M113" s="7"/>
      <c r="N113" s="8"/>
      <c r="O113" s="34">
        <f t="shared" si="6"/>
        <v>0</v>
      </c>
    </row>
    <row r="114" spans="1:15" ht="13.2" x14ac:dyDescent="0.25">
      <c r="A114" s="9" t="s">
        <v>54</v>
      </c>
      <c r="B114" s="5" t="s">
        <v>59</v>
      </c>
      <c r="C114" s="7">
        <v>93803</v>
      </c>
      <c r="D114" s="8">
        <f>421721-C114</f>
        <v>327918</v>
      </c>
      <c r="E114" s="7">
        <f>466917-395721</f>
        <v>71196</v>
      </c>
      <c r="F114" s="8">
        <f>539967-466917</f>
        <v>73050</v>
      </c>
      <c r="G114" s="7">
        <f>43500+560658-539967</f>
        <v>64191</v>
      </c>
      <c r="H114" s="8">
        <f>602496-560658</f>
        <v>41838</v>
      </c>
      <c r="I114" s="7">
        <f>609797-602496</f>
        <v>7301</v>
      </c>
      <c r="J114" s="8">
        <f>644203-609797</f>
        <v>34406</v>
      </c>
      <c r="K114" s="7">
        <f>714130-644203</f>
        <v>69927</v>
      </c>
      <c r="L114" s="8">
        <v>9700</v>
      </c>
      <c r="M114" s="7">
        <f>770487.5-719630</f>
        <v>50857.5</v>
      </c>
      <c r="N114" s="8">
        <f>815884.5-770487.5</f>
        <v>45397</v>
      </c>
      <c r="O114" s="34">
        <f t="shared" si="6"/>
        <v>889584.5</v>
      </c>
    </row>
    <row r="115" spans="1:15" ht="13.2" x14ac:dyDescent="0.25">
      <c r="A115" s="4"/>
      <c r="B115" s="10" t="s">
        <v>23</v>
      </c>
      <c r="C115" s="30">
        <f t="shared" ref="C115:F115" si="7">SUM(C97:C114)</f>
        <v>1074225.6099999999</v>
      </c>
      <c r="D115" s="40">
        <f t="shared" si="7"/>
        <v>853935.23</v>
      </c>
      <c r="E115" s="31">
        <f t="shared" si="7"/>
        <v>680618</v>
      </c>
      <c r="F115" s="40">
        <f t="shared" si="7"/>
        <v>519124.44999999995</v>
      </c>
      <c r="G115" s="31">
        <f>SUM(G97:G114)</f>
        <v>1543306.82</v>
      </c>
      <c r="H115" s="40">
        <f>SUM(H97:H114)</f>
        <v>1220471.0700000003</v>
      </c>
      <c r="I115" s="31">
        <f>SUM(I95:I114)</f>
        <v>1064793.31</v>
      </c>
      <c r="J115" s="31">
        <f>SUM(J95:J114)</f>
        <v>1135606.8199999998</v>
      </c>
      <c r="K115" s="31">
        <f t="shared" ref="K115:N115" si="8">SUM(K95:K114)</f>
        <v>768939.05</v>
      </c>
      <c r="L115" s="31">
        <f t="shared" si="8"/>
        <v>1131504.8900000001</v>
      </c>
      <c r="M115" s="31">
        <f t="shared" si="8"/>
        <v>675989.14</v>
      </c>
      <c r="N115" s="31">
        <f t="shared" si="8"/>
        <v>808791.71999999986</v>
      </c>
      <c r="O115" s="41">
        <f>SUM(O95:O114)</f>
        <v>11477306.109999999</v>
      </c>
    </row>
    <row r="116" spans="1:15" ht="13.2" x14ac:dyDescent="0.25">
      <c r="A116" s="3" t="s">
        <v>24</v>
      </c>
      <c r="B116" s="11"/>
      <c r="C116" s="12"/>
      <c r="D116" s="12"/>
      <c r="E116" s="12"/>
      <c r="F116" s="12"/>
      <c r="G116" s="12" t="s">
        <v>57</v>
      </c>
      <c r="H116" s="12"/>
      <c r="I116" s="23"/>
      <c r="J116" s="23"/>
      <c r="K116" s="23"/>
      <c r="L116" s="23"/>
      <c r="M116" s="23"/>
      <c r="N116" s="23"/>
      <c r="O116" s="29"/>
    </row>
    <row r="117" spans="1:15" ht="13.2" x14ac:dyDescent="0.25">
      <c r="A117" s="4"/>
      <c r="B117" s="2"/>
      <c r="C117" s="7"/>
      <c r="D117" s="7"/>
      <c r="E117" s="7"/>
      <c r="F117" s="7"/>
      <c r="G117" s="7"/>
      <c r="H117" s="7"/>
      <c r="I117" s="7"/>
      <c r="J117" s="7"/>
      <c r="K117" s="7"/>
      <c r="O117" s="26"/>
    </row>
    <row r="118" spans="1:15" ht="13.2" x14ac:dyDescent="0.25">
      <c r="A118" s="6"/>
      <c r="B118" s="14"/>
      <c r="C118" s="7"/>
      <c r="D118" s="7"/>
      <c r="E118" s="7"/>
      <c r="F118" s="7"/>
      <c r="G118" s="7"/>
      <c r="H118" s="15"/>
      <c r="I118" s="15"/>
      <c r="J118" s="15"/>
      <c r="K118" s="7"/>
      <c r="O118" s="26"/>
    </row>
    <row r="119" spans="1:15" ht="13.2" x14ac:dyDescent="0.25">
      <c r="A119" s="98" t="s">
        <v>64</v>
      </c>
      <c r="B119" s="99"/>
      <c r="C119" s="7"/>
      <c r="D119" s="7"/>
      <c r="E119" s="7"/>
      <c r="F119" s="7"/>
      <c r="G119" s="7"/>
      <c r="H119" s="19" t="s">
        <v>65</v>
      </c>
      <c r="I119" s="19"/>
      <c r="J119" s="19"/>
      <c r="K119" s="7"/>
      <c r="O119" s="26"/>
    </row>
    <row r="120" spans="1:15" ht="13.2" x14ac:dyDescent="0.25">
      <c r="A120" s="98" t="s">
        <v>25</v>
      </c>
      <c r="B120" s="99"/>
      <c r="C120" s="7"/>
      <c r="D120" s="7"/>
      <c r="E120" s="7"/>
      <c r="F120" s="7"/>
      <c r="G120" s="7"/>
      <c r="H120" s="20" t="s">
        <v>58</v>
      </c>
      <c r="I120" s="20"/>
      <c r="J120" s="20"/>
      <c r="K120" s="7"/>
      <c r="O120" s="26"/>
    </row>
    <row r="121" spans="1:15" ht="13.2" x14ac:dyDescent="0.25">
      <c r="A121" s="96" t="s">
        <v>26</v>
      </c>
      <c r="B121" s="97"/>
      <c r="C121" s="15"/>
      <c r="D121" s="15"/>
      <c r="E121" s="15"/>
      <c r="F121" s="15"/>
      <c r="G121" s="15"/>
      <c r="H121" s="15" t="s">
        <v>26</v>
      </c>
      <c r="I121" s="15"/>
      <c r="J121" s="15"/>
      <c r="K121" s="15"/>
      <c r="L121" s="27"/>
      <c r="M121" s="27"/>
      <c r="N121" s="27"/>
      <c r="O121" s="28"/>
    </row>
    <row r="122" spans="1:15" x14ac:dyDescent="0.25">
      <c r="C122" s="1"/>
      <c r="D122" s="1"/>
      <c r="E122" s="1"/>
      <c r="F122" s="1"/>
      <c r="G122" s="1"/>
      <c r="H122" s="1"/>
      <c r="I122" s="1"/>
      <c r="J122" s="1"/>
      <c r="K122" s="1"/>
    </row>
    <row r="123" spans="1:15" x14ac:dyDescent="0.25">
      <c r="C123" s="1"/>
      <c r="D123" s="1"/>
      <c r="E123" s="1"/>
      <c r="F123" s="1"/>
      <c r="G123" s="1"/>
      <c r="H123" s="1"/>
      <c r="I123" s="1"/>
      <c r="J123" s="1"/>
      <c r="K123" s="1"/>
    </row>
    <row r="125" spans="1:15" ht="13.2" x14ac:dyDescent="0.25">
      <c r="A125" s="92" t="s">
        <v>80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1:15" ht="13.2" x14ac:dyDescent="0.25">
      <c r="A126" s="92" t="s">
        <v>88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1:15" ht="13.2" x14ac:dyDescent="0.25">
      <c r="A127" s="92" t="s">
        <v>2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1:15" ht="13.2" x14ac:dyDescent="0.25">
      <c r="A128" s="2" t="s">
        <v>3</v>
      </c>
      <c r="B128" s="2"/>
      <c r="C128" s="2" t="s">
        <v>7</v>
      </c>
      <c r="D128" s="2"/>
      <c r="E128" s="2"/>
      <c r="F128" s="2"/>
      <c r="G128" s="2"/>
      <c r="H128" s="2"/>
      <c r="I128" s="2"/>
      <c r="J128" s="2"/>
      <c r="K128" s="2"/>
    </row>
    <row r="129" spans="1:15" ht="13.2" x14ac:dyDescent="0.25">
      <c r="A129" s="2" t="s">
        <v>4</v>
      </c>
      <c r="B129" s="2"/>
      <c r="C129" s="2" t="s">
        <v>6</v>
      </c>
      <c r="D129" s="2"/>
      <c r="E129" s="2"/>
      <c r="F129" s="2"/>
      <c r="G129" s="2"/>
      <c r="H129" s="2"/>
      <c r="I129" s="2"/>
      <c r="J129" s="2"/>
      <c r="K129" s="2"/>
    </row>
    <row r="130" spans="1:15" ht="13.2" x14ac:dyDescent="0.25">
      <c r="A130" s="2" t="s">
        <v>5</v>
      </c>
      <c r="B130" s="2"/>
      <c r="C130" s="16" t="s">
        <v>63</v>
      </c>
      <c r="D130" s="2"/>
      <c r="E130" s="2"/>
      <c r="F130" s="2"/>
      <c r="G130" s="2"/>
      <c r="H130" s="2"/>
      <c r="I130" s="2"/>
      <c r="J130" s="2"/>
      <c r="K130" s="2"/>
    </row>
    <row r="131" spans="1:15" ht="13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5" ht="13.2" x14ac:dyDescent="0.25">
      <c r="A132" s="37" t="s">
        <v>8</v>
      </c>
      <c r="B132" s="38"/>
      <c r="C132" s="17" t="s">
        <v>48</v>
      </c>
      <c r="D132" s="22" t="s">
        <v>49</v>
      </c>
      <c r="E132" s="18" t="s">
        <v>50</v>
      </c>
      <c r="F132" s="22" t="s">
        <v>51</v>
      </c>
      <c r="G132" s="18" t="s">
        <v>52</v>
      </c>
      <c r="H132" s="22" t="s">
        <v>53</v>
      </c>
      <c r="I132" s="17" t="s">
        <v>66</v>
      </c>
      <c r="J132" s="22" t="s">
        <v>67</v>
      </c>
      <c r="K132" s="17" t="s">
        <v>68</v>
      </c>
      <c r="L132" s="22" t="s">
        <v>69</v>
      </c>
      <c r="M132" s="17" t="s">
        <v>70</v>
      </c>
      <c r="N132" s="17" t="s">
        <v>71</v>
      </c>
      <c r="O132" s="33" t="s">
        <v>23</v>
      </c>
    </row>
    <row r="133" spans="1:15" ht="13.2" x14ac:dyDescent="0.25">
      <c r="A133" s="3" t="s">
        <v>9</v>
      </c>
      <c r="B133" s="5"/>
      <c r="C133" s="7"/>
      <c r="D133" s="8"/>
      <c r="E133" s="7"/>
      <c r="F133" s="8"/>
      <c r="G133" s="7"/>
      <c r="H133" s="8"/>
      <c r="I133" s="7"/>
      <c r="J133" s="8"/>
      <c r="K133" s="7"/>
      <c r="L133" s="8"/>
      <c r="M133" s="7"/>
      <c r="N133" s="42"/>
      <c r="O133" s="34"/>
    </row>
    <row r="134" spans="1:15" ht="13.2" x14ac:dyDescent="0.25">
      <c r="A134" s="4"/>
      <c r="B134" s="5"/>
      <c r="C134" s="7"/>
      <c r="D134" s="8"/>
      <c r="E134" s="7"/>
      <c r="F134" s="8"/>
      <c r="G134" s="7"/>
      <c r="H134" s="8"/>
      <c r="I134" s="7"/>
      <c r="J134" s="8"/>
      <c r="K134" s="7"/>
      <c r="L134" s="8"/>
      <c r="M134" s="7"/>
      <c r="N134" s="42"/>
      <c r="O134" s="34"/>
    </row>
    <row r="135" spans="1:15" ht="13.2" x14ac:dyDescent="0.25">
      <c r="A135" s="4" t="s">
        <v>10</v>
      </c>
      <c r="B135" s="5"/>
      <c r="C135" s="7"/>
      <c r="D135" s="8"/>
      <c r="E135" s="7"/>
      <c r="F135" s="8"/>
      <c r="G135" s="7"/>
      <c r="H135" s="8"/>
      <c r="I135" s="7"/>
      <c r="J135" s="8"/>
      <c r="K135" s="7"/>
      <c r="L135" s="8"/>
      <c r="M135" s="7"/>
      <c r="N135" s="42"/>
      <c r="O135" s="34"/>
    </row>
    <row r="136" spans="1:15" ht="13.2" x14ac:dyDescent="0.25">
      <c r="A136" s="4"/>
      <c r="B136" s="5"/>
      <c r="C136" s="7"/>
      <c r="D136" s="8"/>
      <c r="E136" s="7"/>
      <c r="F136" s="8"/>
      <c r="G136" s="7"/>
      <c r="H136" s="8"/>
      <c r="I136" s="7"/>
      <c r="J136" s="8"/>
      <c r="K136" s="7"/>
      <c r="L136" s="8"/>
      <c r="M136" s="7"/>
      <c r="N136" s="42"/>
      <c r="O136" s="34"/>
    </row>
    <row r="137" spans="1:15" ht="13.2" x14ac:dyDescent="0.25">
      <c r="A137" s="4" t="s">
        <v>11</v>
      </c>
      <c r="B137" s="5"/>
      <c r="C137" s="7"/>
      <c r="D137" s="8"/>
      <c r="E137" s="7"/>
      <c r="F137" s="8"/>
      <c r="G137" s="7"/>
      <c r="H137" s="8"/>
      <c r="I137" s="7"/>
      <c r="J137" s="8"/>
      <c r="K137" s="7"/>
      <c r="L137" s="8"/>
      <c r="M137" s="7"/>
      <c r="N137" s="42"/>
      <c r="O137" s="34"/>
    </row>
    <row r="138" spans="1:15" ht="13.2" x14ac:dyDescent="0.25">
      <c r="A138" s="9" t="s">
        <v>29</v>
      </c>
      <c r="B138" s="5" t="s">
        <v>12</v>
      </c>
      <c r="C138" s="7">
        <v>69711.06</v>
      </c>
      <c r="D138" s="8"/>
      <c r="E138" s="7">
        <f>269707.07-103039.91</f>
        <v>166667.16</v>
      </c>
      <c r="F138" s="8">
        <f>43858.48+12617.96</f>
        <v>56476.44</v>
      </c>
      <c r="G138" s="7">
        <f>456473.54-326183.51</f>
        <v>130290.02999999997</v>
      </c>
      <c r="H138" s="8">
        <f>787958.58-456473.54</f>
        <v>331485.03999999998</v>
      </c>
      <c r="I138" s="7">
        <f>889590.67-787958.58</f>
        <v>101632.09000000008</v>
      </c>
      <c r="J138" s="8">
        <f>948336.72-889590.67</f>
        <v>58746.04999999993</v>
      </c>
      <c r="K138" s="7">
        <f>1144685.97-948336.72</f>
        <v>196349.25</v>
      </c>
      <c r="L138" s="8">
        <f>1412106.61-1144685.97</f>
        <v>267420.64000000013</v>
      </c>
      <c r="M138" s="7">
        <f>1481755.34-1412106.61</f>
        <v>69648.729999999981</v>
      </c>
      <c r="N138" s="42">
        <v>87361.45</v>
      </c>
      <c r="O138" s="34">
        <f>SUM(C138:N138)</f>
        <v>1535787.9400000002</v>
      </c>
    </row>
    <row r="139" spans="1:15" ht="13.2" x14ac:dyDescent="0.25">
      <c r="A139" s="9" t="s">
        <v>30</v>
      </c>
      <c r="B139" s="5" t="s">
        <v>13</v>
      </c>
      <c r="C139" s="7">
        <v>350505</v>
      </c>
      <c r="D139" s="8">
        <f>952562-C139</f>
        <v>602057</v>
      </c>
      <c r="E139" s="7">
        <f>1605804-1221482</f>
        <v>384322</v>
      </c>
      <c r="F139" s="8">
        <f>1844311-1605804</f>
        <v>238507</v>
      </c>
      <c r="G139" s="7">
        <f>2255481-1844311</f>
        <v>411170</v>
      </c>
      <c r="H139" s="8">
        <f>2296665.2-2255481</f>
        <v>41184.200000000186</v>
      </c>
      <c r="I139" s="7">
        <f>364-19.8</f>
        <v>344.2</v>
      </c>
      <c r="J139" s="8"/>
      <c r="K139" s="7">
        <v>7400</v>
      </c>
      <c r="L139" s="8"/>
      <c r="M139" s="7"/>
      <c r="N139" s="42"/>
      <c r="O139" s="34">
        <f t="shared" ref="O139:O155" si="9">SUM(C139:N139)</f>
        <v>2035489.4000000001</v>
      </c>
    </row>
    <row r="140" spans="1:15" ht="13.2" x14ac:dyDescent="0.25">
      <c r="A140" s="9" t="s">
        <v>31</v>
      </c>
      <c r="B140" s="5" t="s">
        <v>83</v>
      </c>
      <c r="C140" s="7"/>
      <c r="D140" s="8"/>
      <c r="E140" s="7"/>
      <c r="F140" s="8"/>
      <c r="G140" s="7"/>
      <c r="H140" s="8"/>
      <c r="I140" s="7"/>
      <c r="J140" s="8"/>
      <c r="K140" s="7"/>
      <c r="L140" s="8"/>
      <c r="M140" s="7"/>
      <c r="N140" s="42"/>
      <c r="O140" s="34">
        <f t="shared" si="9"/>
        <v>0</v>
      </c>
    </row>
    <row r="141" spans="1:15" ht="13.2" x14ac:dyDescent="0.25">
      <c r="A141" s="9" t="s">
        <v>32</v>
      </c>
      <c r="B141" s="5" t="s">
        <v>15</v>
      </c>
      <c r="C141" s="7">
        <v>21000</v>
      </c>
      <c r="D141" s="8">
        <f>46500-C141</f>
        <v>25500</v>
      </c>
      <c r="E141" s="7">
        <f>130800-45000-500</f>
        <v>85300</v>
      </c>
      <c r="F141" s="8"/>
      <c r="G141" s="7">
        <f>969050-127800</f>
        <v>841250</v>
      </c>
      <c r="H141" s="8">
        <f>983550-969050</f>
        <v>14500</v>
      </c>
      <c r="I141" s="7">
        <f>1011050-986050-1500</f>
        <v>23500</v>
      </c>
      <c r="J141" s="8"/>
      <c r="K141" s="7"/>
      <c r="L141" s="8"/>
      <c r="M141" s="7"/>
      <c r="N141" s="42"/>
      <c r="O141" s="34">
        <f t="shared" si="9"/>
        <v>1011050</v>
      </c>
    </row>
    <row r="142" spans="1:15" ht="13.2" x14ac:dyDescent="0.25">
      <c r="A142" s="9" t="s">
        <v>33</v>
      </c>
      <c r="B142" s="5" t="s">
        <v>16</v>
      </c>
      <c r="C142" s="7">
        <v>11000</v>
      </c>
      <c r="D142" s="8">
        <v>2250</v>
      </c>
      <c r="E142" s="7">
        <v>10700</v>
      </c>
      <c r="F142" s="8">
        <v>6160</v>
      </c>
      <c r="G142" s="7">
        <v>16455</v>
      </c>
      <c r="H142" s="8">
        <v>49565</v>
      </c>
      <c r="I142" s="7">
        <v>2750</v>
      </c>
      <c r="J142" s="8">
        <v>1500</v>
      </c>
      <c r="K142" s="7">
        <v>56170</v>
      </c>
      <c r="L142" s="8">
        <v>39935</v>
      </c>
      <c r="M142" s="7">
        <v>11210</v>
      </c>
      <c r="N142" s="42">
        <v>4500</v>
      </c>
      <c r="O142" s="34">
        <f t="shared" si="9"/>
        <v>212195</v>
      </c>
    </row>
    <row r="143" spans="1:15" ht="13.2" x14ac:dyDescent="0.25">
      <c r="A143" s="9" t="s">
        <v>34</v>
      </c>
      <c r="B143" s="5" t="s">
        <v>27</v>
      </c>
      <c r="C143" s="7">
        <v>171500</v>
      </c>
      <c r="D143" s="8"/>
      <c r="E143" s="7"/>
      <c r="F143" s="8"/>
      <c r="G143" s="7"/>
      <c r="H143" s="8">
        <f>903000-C143</f>
        <v>731500</v>
      </c>
      <c r="I143" s="7">
        <f>1050000-903000</f>
        <v>147000</v>
      </c>
      <c r="J143" s="8"/>
      <c r="K143" s="7"/>
      <c r="L143" s="8"/>
      <c r="M143" s="7"/>
      <c r="N143" s="42"/>
      <c r="O143" s="34">
        <f t="shared" si="9"/>
        <v>1050000</v>
      </c>
    </row>
    <row r="144" spans="1:15" ht="13.2" x14ac:dyDescent="0.25">
      <c r="A144" s="9" t="s">
        <v>35</v>
      </c>
      <c r="B144" s="5" t="s">
        <v>28</v>
      </c>
      <c r="C144" s="7">
        <v>22120</v>
      </c>
      <c r="D144" s="8">
        <f>42070-C144</f>
        <v>19950</v>
      </c>
      <c r="E144" s="7"/>
      <c r="F144" s="8">
        <f>21815+475</f>
        <v>22290</v>
      </c>
      <c r="G144" s="7">
        <v>17340.5</v>
      </c>
      <c r="H144" s="8">
        <f>27340.5</f>
        <v>27340.5</v>
      </c>
      <c r="I144" s="7">
        <v>41059</v>
      </c>
      <c r="J144" s="8">
        <f>25900+11200</f>
        <v>37100</v>
      </c>
      <c r="K144" s="7"/>
      <c r="L144" s="8">
        <v>42089</v>
      </c>
      <c r="M144" s="7">
        <v>17130</v>
      </c>
      <c r="N144" s="42">
        <v>17050</v>
      </c>
      <c r="O144" s="34">
        <f t="shared" si="9"/>
        <v>263469</v>
      </c>
    </row>
    <row r="145" spans="1:15" ht="13.2" x14ac:dyDescent="0.25">
      <c r="A145" s="9" t="s">
        <v>36</v>
      </c>
      <c r="B145" s="5" t="s">
        <v>17</v>
      </c>
      <c r="C145" s="7">
        <v>3584</v>
      </c>
      <c r="D145" s="8"/>
      <c r="E145" s="7"/>
      <c r="F145" s="8"/>
      <c r="G145" s="7">
        <v>15000</v>
      </c>
      <c r="H145" s="8"/>
      <c r="I145" s="7"/>
      <c r="J145" s="8"/>
      <c r="K145" s="7"/>
      <c r="L145" s="8"/>
      <c r="M145" s="7"/>
      <c r="N145" s="42"/>
      <c r="O145" s="34">
        <f t="shared" si="9"/>
        <v>18584</v>
      </c>
    </row>
    <row r="146" spans="1:15" ht="13.2" x14ac:dyDescent="0.25">
      <c r="A146" s="9" t="s">
        <v>37</v>
      </c>
      <c r="B146" s="5" t="s">
        <v>56</v>
      </c>
      <c r="C146" s="7">
        <v>58891.25</v>
      </c>
      <c r="D146" s="8">
        <f>72916.25-C146</f>
        <v>14025</v>
      </c>
      <c r="E146" s="7">
        <f>203746.25-72916.25</f>
        <v>130830</v>
      </c>
      <c r="F146" s="8">
        <f>239671.25-203746.25</f>
        <v>35925</v>
      </c>
      <c r="G146" s="7">
        <f>36790+5800</f>
        <v>42590</v>
      </c>
      <c r="H146" s="8">
        <v>2650</v>
      </c>
      <c r="I146" s="7">
        <v>3000</v>
      </c>
      <c r="J146" s="8">
        <v>3080</v>
      </c>
      <c r="K146" s="7">
        <f>382584.25-290991.25</f>
        <v>91593</v>
      </c>
      <c r="L146" s="8">
        <v>13000</v>
      </c>
      <c r="M146" s="7">
        <v>1250</v>
      </c>
      <c r="N146" s="42">
        <v>2450</v>
      </c>
      <c r="O146" s="34">
        <f t="shared" si="9"/>
        <v>399284.25</v>
      </c>
    </row>
    <row r="147" spans="1:15" ht="13.2" x14ac:dyDescent="0.25">
      <c r="A147" s="9" t="s">
        <v>38</v>
      </c>
      <c r="B147" s="5" t="s">
        <v>82</v>
      </c>
      <c r="C147" s="7"/>
      <c r="D147" s="8"/>
      <c r="E147" s="7"/>
      <c r="F147" s="8">
        <v>1000</v>
      </c>
      <c r="G147" s="7"/>
      <c r="H147" s="8">
        <v>295380.25</v>
      </c>
      <c r="I147" s="7"/>
      <c r="J147" s="8"/>
      <c r="K147" s="7"/>
      <c r="L147" s="8"/>
      <c r="M147" s="7"/>
      <c r="N147" s="42"/>
      <c r="O147" s="34">
        <f t="shared" si="9"/>
        <v>296380.25</v>
      </c>
    </row>
    <row r="148" spans="1:15" ht="13.2" x14ac:dyDescent="0.25">
      <c r="A148" s="9" t="s">
        <v>39</v>
      </c>
      <c r="B148" s="5" t="s">
        <v>81</v>
      </c>
      <c r="C148" s="7"/>
      <c r="D148" s="8"/>
      <c r="E148" s="7"/>
      <c r="F148" s="8"/>
      <c r="G148" s="7"/>
      <c r="H148" s="8"/>
      <c r="I148" s="7"/>
      <c r="J148" s="8"/>
      <c r="K148" s="7"/>
      <c r="L148" s="8"/>
      <c r="M148" s="7"/>
      <c r="N148" s="42"/>
      <c r="O148" s="34">
        <f t="shared" si="9"/>
        <v>0</v>
      </c>
    </row>
    <row r="149" spans="1:15" ht="13.2" x14ac:dyDescent="0.25">
      <c r="A149" s="9" t="s">
        <v>40</v>
      </c>
      <c r="B149" s="5" t="s">
        <v>84</v>
      </c>
      <c r="C149" s="7"/>
      <c r="D149" s="8"/>
      <c r="E149" s="7"/>
      <c r="F149" s="8"/>
      <c r="G149" s="7"/>
      <c r="H149" s="8"/>
      <c r="I149" s="7"/>
      <c r="J149" s="8">
        <v>17250</v>
      </c>
      <c r="K149" s="7">
        <v>37450</v>
      </c>
      <c r="L149" s="8"/>
      <c r="M149" s="7"/>
      <c r="N149" s="42">
        <v>34242</v>
      </c>
      <c r="O149" s="34">
        <f t="shared" si="9"/>
        <v>88942</v>
      </c>
    </row>
    <row r="150" spans="1:15" ht="13.2" x14ac:dyDescent="0.25">
      <c r="A150" s="9" t="s">
        <v>41</v>
      </c>
      <c r="B150" s="5" t="s">
        <v>76</v>
      </c>
      <c r="C150" s="7"/>
      <c r="D150" s="8"/>
      <c r="E150" s="7">
        <v>108700</v>
      </c>
      <c r="F150" s="8">
        <f>132650-E150</f>
        <v>23950</v>
      </c>
      <c r="G150" s="7"/>
      <c r="H150" s="8"/>
      <c r="I150" s="7">
        <v>5000</v>
      </c>
      <c r="J150" s="8"/>
      <c r="K150" s="7"/>
      <c r="L150" s="8"/>
      <c r="M150" s="7"/>
      <c r="N150" s="42"/>
      <c r="O150" s="34">
        <f t="shared" si="9"/>
        <v>137650</v>
      </c>
    </row>
    <row r="151" spans="1:15" ht="13.2" x14ac:dyDescent="0.25">
      <c r="A151" s="9" t="s">
        <v>42</v>
      </c>
      <c r="B151" s="5" t="s">
        <v>21</v>
      </c>
      <c r="C151" s="7">
        <v>2740</v>
      </c>
      <c r="D151" s="8"/>
      <c r="E151" s="7"/>
      <c r="F151" s="8">
        <v>12000</v>
      </c>
      <c r="G151" s="7"/>
      <c r="H151" s="8"/>
      <c r="I151" s="7"/>
      <c r="J151" s="8"/>
      <c r="K151" s="7"/>
      <c r="L151" s="8">
        <v>8040</v>
      </c>
      <c r="M151" s="7">
        <f>5800+1900</f>
        <v>7700</v>
      </c>
      <c r="N151" s="42">
        <v>5560</v>
      </c>
      <c r="O151" s="34">
        <f t="shared" si="9"/>
        <v>36040</v>
      </c>
    </row>
    <row r="152" spans="1:15" ht="13.2" x14ac:dyDescent="0.25">
      <c r="A152" s="9" t="s">
        <v>43</v>
      </c>
      <c r="B152" s="5" t="s">
        <v>60</v>
      </c>
      <c r="C152" s="7"/>
      <c r="D152" s="8"/>
      <c r="E152" s="7"/>
      <c r="F152" s="8"/>
      <c r="G152" s="7"/>
      <c r="H152" s="8"/>
      <c r="I152" s="7"/>
      <c r="J152" s="8"/>
      <c r="K152" s="7"/>
      <c r="L152" s="8"/>
      <c r="M152" s="7"/>
      <c r="N152" s="42"/>
      <c r="O152" s="34">
        <f t="shared" si="9"/>
        <v>0</v>
      </c>
    </row>
    <row r="153" spans="1:15" ht="13.2" x14ac:dyDescent="0.25">
      <c r="A153" s="9" t="s">
        <v>44</v>
      </c>
      <c r="B153" s="5" t="s">
        <v>47</v>
      </c>
      <c r="C153" s="7"/>
      <c r="D153" s="8">
        <v>11700</v>
      </c>
      <c r="E153" s="7">
        <f>21700-D153</f>
        <v>10000</v>
      </c>
      <c r="F153" s="8">
        <f>51700-19100</f>
        <v>32600</v>
      </c>
      <c r="G153" s="7">
        <f>2200+1700</f>
        <v>3900</v>
      </c>
      <c r="H153" s="8">
        <f>60100-55600</f>
        <v>4500</v>
      </c>
      <c r="I153" s="7">
        <f>3200-2300</f>
        <v>900</v>
      </c>
      <c r="J153" s="8">
        <v>4200</v>
      </c>
      <c r="K153" s="7">
        <v>3800</v>
      </c>
      <c r="L153" s="8">
        <v>8800</v>
      </c>
      <c r="M153" s="7"/>
      <c r="N153" s="42"/>
      <c r="O153" s="34">
        <f t="shared" si="9"/>
        <v>80400</v>
      </c>
    </row>
    <row r="154" spans="1:15" ht="13.2" x14ac:dyDescent="0.25">
      <c r="A154" s="9" t="s">
        <v>45</v>
      </c>
      <c r="B154" s="5" t="s">
        <v>55</v>
      </c>
      <c r="C154" s="7"/>
      <c r="D154" s="8"/>
      <c r="E154" s="7"/>
      <c r="F154" s="8"/>
      <c r="G154" s="7"/>
      <c r="H154" s="8"/>
      <c r="I154" s="7"/>
      <c r="J154" s="8"/>
      <c r="K154" s="7"/>
      <c r="L154" s="8"/>
      <c r="M154" s="7"/>
      <c r="N154" s="42"/>
      <c r="O154" s="34">
        <f t="shared" si="9"/>
        <v>0</v>
      </c>
    </row>
    <row r="155" spans="1:15" ht="13.2" x14ac:dyDescent="0.25">
      <c r="A155" s="9" t="s">
        <v>54</v>
      </c>
      <c r="B155" s="5" t="s">
        <v>59</v>
      </c>
      <c r="C155" s="7">
        <v>71870</v>
      </c>
      <c r="D155" s="8">
        <f>119826-C155</f>
        <v>47956</v>
      </c>
      <c r="E155" s="7">
        <f>191050-C155-D155</f>
        <v>71224</v>
      </c>
      <c r="F155" s="8">
        <f>222032-191050</f>
        <v>30982</v>
      </c>
      <c r="G155" s="7">
        <f>12213+6970</f>
        <v>19183</v>
      </c>
      <c r="H155" s="8">
        <f>267366-241215</f>
        <v>26151</v>
      </c>
      <c r="I155" s="7">
        <f>287227-267366</f>
        <v>19861</v>
      </c>
      <c r="J155" s="8">
        <f>314328-290247</f>
        <v>24081</v>
      </c>
      <c r="K155" s="7">
        <f>338472.5-314328</f>
        <v>24144.5</v>
      </c>
      <c r="L155" s="8">
        <f>373494.5-338472.5</f>
        <v>35022</v>
      </c>
      <c r="M155" s="7">
        <f>402632.5-373494.5</f>
        <v>29138</v>
      </c>
      <c r="N155" s="42">
        <f>415446.5-402632.5</f>
        <v>12814</v>
      </c>
      <c r="O155" s="34">
        <f t="shared" si="9"/>
        <v>412426.5</v>
      </c>
    </row>
    <row r="156" spans="1:15" ht="13.2" x14ac:dyDescent="0.25">
      <c r="A156" s="4"/>
      <c r="B156" s="10" t="s">
        <v>23</v>
      </c>
      <c r="C156" s="30">
        <f t="shared" ref="C156:F156" si="10">SUM(C138:C155)</f>
        <v>782921.31</v>
      </c>
      <c r="D156" s="40">
        <f t="shared" si="10"/>
        <v>723438</v>
      </c>
      <c r="E156" s="31">
        <f t="shared" si="10"/>
        <v>967743.16</v>
      </c>
      <c r="F156" s="40">
        <f t="shared" si="10"/>
        <v>459890.44</v>
      </c>
      <c r="G156" s="31">
        <f>SUM(G138:G155)</f>
        <v>1497178.53</v>
      </c>
      <c r="H156" s="40">
        <f>SUM(H138:H155)</f>
        <v>1524255.9900000002</v>
      </c>
      <c r="I156" s="31">
        <f>SUM(I136:I155)</f>
        <v>345046.2900000001</v>
      </c>
      <c r="J156" s="31">
        <f>SUM(J136:J155)</f>
        <v>145957.04999999993</v>
      </c>
      <c r="K156" s="31">
        <f t="shared" ref="K156:N156" si="11">SUM(K136:K155)</f>
        <v>416906.75</v>
      </c>
      <c r="L156" s="31">
        <f t="shared" si="11"/>
        <v>414306.64000000013</v>
      </c>
      <c r="M156" s="31">
        <f t="shared" si="11"/>
        <v>136076.72999999998</v>
      </c>
      <c r="N156" s="31">
        <f t="shared" si="11"/>
        <v>163977.45000000001</v>
      </c>
      <c r="O156" s="40">
        <f>SUM(O136:O155)</f>
        <v>7577698.3399999999</v>
      </c>
    </row>
    <row r="157" spans="1:15" ht="13.2" x14ac:dyDescent="0.25">
      <c r="A157" s="3" t="s">
        <v>24</v>
      </c>
      <c r="B157" s="11"/>
      <c r="C157" s="12"/>
      <c r="D157" s="12"/>
      <c r="E157" s="12"/>
      <c r="F157" s="12"/>
      <c r="G157" s="12" t="s">
        <v>57</v>
      </c>
      <c r="H157" s="12"/>
      <c r="I157" s="12"/>
      <c r="J157" s="12"/>
      <c r="K157" s="12"/>
      <c r="L157" s="24"/>
      <c r="M157" s="24"/>
      <c r="N157" s="24"/>
      <c r="O157" s="25"/>
    </row>
    <row r="158" spans="1:15" ht="13.2" x14ac:dyDescent="0.25">
      <c r="A158" s="4"/>
      <c r="B158" s="2"/>
      <c r="C158" s="7"/>
      <c r="D158" s="7"/>
      <c r="E158" s="7"/>
      <c r="F158" s="7"/>
      <c r="G158" s="7"/>
      <c r="H158" s="7"/>
      <c r="I158" s="7"/>
      <c r="J158" s="7"/>
      <c r="K158" s="7"/>
      <c r="O158" s="26"/>
    </row>
    <row r="159" spans="1:15" ht="13.2" x14ac:dyDescent="0.25">
      <c r="A159" s="6"/>
      <c r="B159" s="14"/>
      <c r="C159" s="7"/>
      <c r="D159" s="7"/>
      <c r="E159" s="7"/>
      <c r="F159" s="7"/>
      <c r="G159" s="7"/>
      <c r="H159" s="15"/>
      <c r="I159" s="15"/>
      <c r="J159" s="15"/>
      <c r="K159" s="7"/>
      <c r="O159" s="26"/>
    </row>
    <row r="160" spans="1:15" ht="13.2" x14ac:dyDescent="0.25">
      <c r="A160" s="98" t="s">
        <v>64</v>
      </c>
      <c r="B160" s="99"/>
      <c r="C160" s="7"/>
      <c r="D160" s="7"/>
      <c r="E160" s="7"/>
      <c r="F160" s="7"/>
      <c r="G160" s="7"/>
      <c r="H160" s="90" t="s">
        <v>65</v>
      </c>
      <c r="I160" s="90"/>
      <c r="J160" s="90"/>
      <c r="K160" s="7"/>
      <c r="O160" s="26"/>
    </row>
    <row r="161" spans="1:15" ht="13.2" x14ac:dyDescent="0.25">
      <c r="A161" s="100" t="s">
        <v>25</v>
      </c>
      <c r="B161" s="101"/>
      <c r="C161" s="15"/>
      <c r="D161" s="15"/>
      <c r="E161" s="15"/>
      <c r="F161" s="15"/>
      <c r="G161" s="15"/>
      <c r="H161" s="102" t="s">
        <v>58</v>
      </c>
      <c r="I161" s="102"/>
      <c r="J161" s="102"/>
      <c r="K161" s="15"/>
      <c r="L161" s="27"/>
      <c r="M161" s="27"/>
      <c r="N161" s="27"/>
      <c r="O161" s="28"/>
    </row>
    <row r="162" spans="1:15" ht="13.2" x14ac:dyDescent="0.25">
      <c r="A162" s="96" t="s">
        <v>26</v>
      </c>
      <c r="B162" s="97"/>
      <c r="C162" s="15"/>
      <c r="D162" s="15"/>
      <c r="E162" s="15"/>
      <c r="F162" s="15"/>
      <c r="G162" s="15"/>
      <c r="H162" s="15" t="s">
        <v>26</v>
      </c>
      <c r="I162" s="15"/>
      <c r="J162" s="15"/>
      <c r="K162" s="7"/>
    </row>
    <row r="163" spans="1:15" x14ac:dyDescent="0.25">
      <c r="C163" s="1"/>
      <c r="D163" s="1"/>
      <c r="E163" s="1"/>
      <c r="F163" s="1"/>
      <c r="G163" s="1"/>
      <c r="H163" s="1"/>
      <c r="I163" s="1"/>
      <c r="J163" s="1"/>
      <c r="K163" s="1"/>
    </row>
    <row r="164" spans="1:15" x14ac:dyDescent="0.25">
      <c r="C164" s="1"/>
      <c r="D164" s="1"/>
      <c r="E164" s="1"/>
      <c r="F164" s="1"/>
      <c r="G164" s="1"/>
      <c r="H164" s="1"/>
      <c r="I164" s="1"/>
      <c r="J164" s="1"/>
      <c r="K164" s="1"/>
    </row>
    <row r="166" spans="1:15" ht="13.2" x14ac:dyDescent="0.25">
      <c r="A166" s="92" t="s">
        <v>80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1:15" ht="13.2" x14ac:dyDescent="0.25">
      <c r="A167" s="92" t="s">
        <v>97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1:15" ht="13.2" x14ac:dyDescent="0.25">
      <c r="A168" s="92" t="s">
        <v>2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1:15" ht="13.2" x14ac:dyDescent="0.25">
      <c r="A169" s="2" t="s">
        <v>3</v>
      </c>
      <c r="B169" s="2"/>
      <c r="C169" s="2" t="s">
        <v>7</v>
      </c>
      <c r="D169" s="2"/>
      <c r="E169" s="2"/>
      <c r="F169" s="2"/>
      <c r="G169" s="2"/>
      <c r="H169" s="2"/>
      <c r="I169" s="2"/>
      <c r="J169" s="2"/>
      <c r="K169" s="2"/>
    </row>
    <row r="170" spans="1:15" ht="13.2" x14ac:dyDescent="0.25">
      <c r="A170" s="2" t="s">
        <v>4</v>
      </c>
      <c r="B170" s="2"/>
      <c r="C170" s="2" t="s">
        <v>6</v>
      </c>
      <c r="D170" s="2"/>
      <c r="E170" s="2"/>
      <c r="F170" s="2"/>
      <c r="G170" s="2"/>
      <c r="H170" s="2"/>
      <c r="I170" s="2"/>
      <c r="J170" s="2"/>
      <c r="K170" s="2"/>
    </row>
    <row r="171" spans="1:15" ht="13.2" x14ac:dyDescent="0.25">
      <c r="A171" s="2" t="s">
        <v>5</v>
      </c>
      <c r="B171" s="2"/>
      <c r="C171" s="16" t="s">
        <v>63</v>
      </c>
      <c r="D171" s="2"/>
      <c r="E171" s="2"/>
      <c r="F171" s="2"/>
      <c r="G171" s="2"/>
      <c r="H171" s="2"/>
      <c r="I171" s="2"/>
      <c r="J171" s="2"/>
      <c r="K171" s="2"/>
    </row>
    <row r="172" spans="1:15" ht="13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5" ht="13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5" ht="13.2" x14ac:dyDescent="0.25">
      <c r="A174" s="37" t="s">
        <v>8</v>
      </c>
      <c r="B174" s="38"/>
      <c r="C174" s="48" t="s">
        <v>48</v>
      </c>
      <c r="D174" s="22" t="s">
        <v>49</v>
      </c>
      <c r="E174" s="49" t="s">
        <v>50</v>
      </c>
      <c r="F174" s="22" t="s">
        <v>51</v>
      </c>
      <c r="G174" s="49" t="s">
        <v>52</v>
      </c>
      <c r="H174" s="22" t="s">
        <v>53</v>
      </c>
      <c r="I174" s="48" t="s">
        <v>66</v>
      </c>
      <c r="J174" s="22" t="s">
        <v>67</v>
      </c>
      <c r="K174" s="48" t="s">
        <v>68</v>
      </c>
      <c r="L174" s="22" t="s">
        <v>69</v>
      </c>
      <c r="M174" s="48" t="s">
        <v>70</v>
      </c>
      <c r="N174" s="48" t="s">
        <v>71</v>
      </c>
      <c r="O174" s="33" t="s">
        <v>23</v>
      </c>
    </row>
    <row r="175" spans="1:15" ht="13.2" x14ac:dyDescent="0.25">
      <c r="A175" s="3" t="s">
        <v>9</v>
      </c>
      <c r="B175" s="5"/>
      <c r="C175" s="7"/>
      <c r="D175" s="8"/>
      <c r="E175" s="7"/>
      <c r="F175" s="8"/>
      <c r="G175" s="7"/>
      <c r="H175" s="8"/>
      <c r="I175" s="7"/>
      <c r="J175" s="8"/>
      <c r="K175" s="7"/>
      <c r="L175" s="8"/>
      <c r="M175" s="7"/>
      <c r="N175" s="42"/>
      <c r="O175" s="34"/>
    </row>
    <row r="176" spans="1:15" ht="13.2" x14ac:dyDescent="0.25">
      <c r="A176" s="4"/>
      <c r="B176" s="5"/>
      <c r="C176" s="7"/>
      <c r="D176" s="8"/>
      <c r="E176" s="7"/>
      <c r="F176" s="8"/>
      <c r="G176" s="7"/>
      <c r="H176" s="8"/>
      <c r="I176" s="7"/>
      <c r="J176" s="8"/>
      <c r="K176" s="7"/>
      <c r="L176" s="8"/>
      <c r="M176" s="7"/>
      <c r="N176" s="42"/>
      <c r="O176" s="34"/>
    </row>
    <row r="177" spans="1:15" ht="13.2" x14ac:dyDescent="0.25">
      <c r="A177" s="4" t="s">
        <v>10</v>
      </c>
      <c r="B177" s="5"/>
      <c r="C177" s="7"/>
      <c r="D177" s="8"/>
      <c r="E177" s="7"/>
      <c r="F177" s="8"/>
      <c r="G177" s="7"/>
      <c r="H177" s="8"/>
      <c r="I177" s="7"/>
      <c r="J177" s="8"/>
      <c r="K177" s="7"/>
      <c r="L177" s="8"/>
      <c r="M177" s="7"/>
      <c r="N177" s="42"/>
      <c r="O177" s="34"/>
    </row>
    <row r="178" spans="1:15" ht="13.2" x14ac:dyDescent="0.25">
      <c r="A178" s="4"/>
      <c r="B178" s="5"/>
      <c r="C178" s="7"/>
      <c r="D178" s="8"/>
      <c r="E178" s="7"/>
      <c r="F178" s="8"/>
      <c r="G178" s="7"/>
      <c r="H178" s="8"/>
      <c r="I178" s="7"/>
      <c r="J178" s="8"/>
      <c r="K178" s="7"/>
      <c r="L178" s="8"/>
      <c r="M178" s="7"/>
      <c r="N178" s="42"/>
      <c r="O178" s="34"/>
    </row>
    <row r="179" spans="1:15" ht="13.2" x14ac:dyDescent="0.25">
      <c r="A179" s="4" t="s">
        <v>11</v>
      </c>
      <c r="B179" s="5"/>
      <c r="C179" s="7"/>
      <c r="D179" s="8"/>
      <c r="E179" s="7"/>
      <c r="F179" s="8"/>
      <c r="G179" s="7"/>
      <c r="H179" s="8"/>
      <c r="I179" s="7"/>
      <c r="J179" s="8"/>
      <c r="K179" s="7"/>
      <c r="L179" s="8"/>
      <c r="M179" s="7"/>
      <c r="N179" s="42"/>
      <c r="O179" s="34"/>
    </row>
    <row r="180" spans="1:15" ht="13.2" x14ac:dyDescent="0.25">
      <c r="A180" s="9" t="s">
        <v>29</v>
      </c>
      <c r="B180" s="5" t="s">
        <v>12</v>
      </c>
      <c r="C180" s="7">
        <v>62976.23</v>
      </c>
      <c r="D180" s="8">
        <v>70680.789999999994</v>
      </c>
      <c r="E180" s="7">
        <v>79118.100000000006</v>
      </c>
      <c r="F180" s="8">
        <v>355044.55</v>
      </c>
      <c r="G180" s="7">
        <v>82631.850000000006</v>
      </c>
      <c r="H180" s="8">
        <v>68178.5</v>
      </c>
      <c r="I180" s="7">
        <v>100212.01</v>
      </c>
      <c r="J180" s="8">
        <v>98507.15</v>
      </c>
      <c r="K180" s="7">
        <v>151513.9</v>
      </c>
      <c r="L180" s="8"/>
      <c r="M180" s="7"/>
      <c r="N180" s="42"/>
      <c r="O180" s="34">
        <f>SUM(C180:N180)</f>
        <v>1068863.0799999998</v>
      </c>
    </row>
    <row r="181" spans="1:15" ht="13.2" x14ac:dyDescent="0.25">
      <c r="A181" s="9" t="s">
        <v>30</v>
      </c>
      <c r="B181" s="5" t="s">
        <v>92</v>
      </c>
      <c r="C181" s="7">
        <v>1375</v>
      </c>
      <c r="D181" s="8">
        <v>34150</v>
      </c>
      <c r="E181" s="7">
        <v>134715</v>
      </c>
      <c r="F181" s="8">
        <v>40135</v>
      </c>
      <c r="G181" s="7">
        <v>30315</v>
      </c>
      <c r="H181" s="8">
        <v>16645</v>
      </c>
      <c r="I181" s="7">
        <v>0</v>
      </c>
      <c r="J181" s="8">
        <v>5235</v>
      </c>
      <c r="K181" s="7">
        <v>3090</v>
      </c>
      <c r="L181" s="8"/>
      <c r="M181" s="7"/>
      <c r="N181" s="42"/>
      <c r="O181" s="34">
        <f t="shared" ref="O181:O197" si="12">SUM(C181:N181)</f>
        <v>265660</v>
      </c>
    </row>
    <row r="182" spans="1:15" ht="13.2" x14ac:dyDescent="0.25">
      <c r="A182" s="9" t="s">
        <v>31</v>
      </c>
      <c r="B182" s="5" t="s">
        <v>93</v>
      </c>
      <c r="C182" s="7">
        <v>49335</v>
      </c>
      <c r="D182" s="8">
        <v>23180</v>
      </c>
      <c r="E182" s="7">
        <v>26999</v>
      </c>
      <c r="F182" s="8">
        <v>20745</v>
      </c>
      <c r="G182" s="7">
        <v>17290</v>
      </c>
      <c r="H182" s="8">
        <v>24730</v>
      </c>
      <c r="I182" s="7">
        <v>57485</v>
      </c>
      <c r="J182" s="8">
        <v>42890</v>
      </c>
      <c r="K182" s="7">
        <v>0</v>
      </c>
      <c r="L182" s="8"/>
      <c r="M182" s="7"/>
      <c r="N182" s="42"/>
      <c r="O182" s="34">
        <f t="shared" si="12"/>
        <v>262654</v>
      </c>
    </row>
    <row r="183" spans="1:15" ht="13.2" x14ac:dyDescent="0.25">
      <c r="A183" s="9" t="s">
        <v>32</v>
      </c>
      <c r="B183" s="5" t="s">
        <v>89</v>
      </c>
      <c r="C183" s="7">
        <v>4460</v>
      </c>
      <c r="D183" s="8">
        <v>12782</v>
      </c>
      <c r="E183" s="7">
        <v>19375</v>
      </c>
      <c r="F183" s="8">
        <v>63600</v>
      </c>
      <c r="G183" s="7">
        <v>9600</v>
      </c>
      <c r="H183" s="8">
        <v>29800</v>
      </c>
      <c r="I183" s="7">
        <v>9400</v>
      </c>
      <c r="J183" s="8">
        <v>3500</v>
      </c>
      <c r="K183" s="7">
        <v>151513.9</v>
      </c>
      <c r="L183" s="8"/>
      <c r="M183" s="7"/>
      <c r="N183" s="42"/>
      <c r="O183" s="34">
        <f t="shared" si="12"/>
        <v>304030.90000000002</v>
      </c>
    </row>
    <row r="184" spans="1:15" ht="13.2" x14ac:dyDescent="0.25">
      <c r="A184" s="9" t="s">
        <v>33</v>
      </c>
      <c r="B184" s="5" t="s">
        <v>84</v>
      </c>
      <c r="C184" s="7">
        <v>0</v>
      </c>
      <c r="D184" s="8">
        <v>0</v>
      </c>
      <c r="E184" s="7">
        <v>0</v>
      </c>
      <c r="F184" s="8">
        <v>0</v>
      </c>
      <c r="G184" s="7">
        <v>0</v>
      </c>
      <c r="H184" s="8">
        <v>17500</v>
      </c>
      <c r="I184" s="7">
        <v>8050</v>
      </c>
      <c r="J184" s="8">
        <v>0</v>
      </c>
      <c r="K184" s="7">
        <v>0</v>
      </c>
      <c r="L184" s="8"/>
      <c r="M184" s="7"/>
      <c r="N184" s="42"/>
      <c r="O184" s="34">
        <f t="shared" si="12"/>
        <v>25550</v>
      </c>
    </row>
    <row r="185" spans="1:15" ht="13.2" x14ac:dyDescent="0.25">
      <c r="A185" s="9" t="s">
        <v>34</v>
      </c>
      <c r="B185" s="5" t="s">
        <v>94</v>
      </c>
      <c r="C185" s="7">
        <v>640</v>
      </c>
      <c r="D185" s="8">
        <v>0</v>
      </c>
      <c r="E185" s="7">
        <v>0</v>
      </c>
      <c r="F185" s="8">
        <v>0</v>
      </c>
      <c r="G185" s="7">
        <v>0</v>
      </c>
      <c r="H185" s="8">
        <v>0</v>
      </c>
      <c r="I185" s="7">
        <v>0</v>
      </c>
      <c r="J185" s="8">
        <v>0</v>
      </c>
      <c r="K185" s="7">
        <v>2200</v>
      </c>
      <c r="L185" s="8"/>
      <c r="M185" s="7"/>
      <c r="N185" s="42"/>
      <c r="O185" s="34">
        <f t="shared" si="12"/>
        <v>2840</v>
      </c>
    </row>
    <row r="186" spans="1:15" ht="13.2" x14ac:dyDescent="0.25">
      <c r="A186" s="9" t="s">
        <v>35</v>
      </c>
      <c r="B186" s="5" t="s">
        <v>91</v>
      </c>
      <c r="C186" s="7">
        <v>0</v>
      </c>
      <c r="D186" s="8">
        <v>4300</v>
      </c>
      <c r="E186" s="7">
        <v>4300</v>
      </c>
      <c r="F186" s="8">
        <v>1200</v>
      </c>
      <c r="G186" s="7">
        <v>0</v>
      </c>
      <c r="H186" s="8">
        <v>4000</v>
      </c>
      <c r="I186" s="7">
        <v>4487.63</v>
      </c>
      <c r="J186" s="8">
        <v>0</v>
      </c>
      <c r="K186" s="7">
        <v>0</v>
      </c>
      <c r="L186" s="8"/>
      <c r="M186" s="7"/>
      <c r="N186" s="42"/>
      <c r="O186" s="34">
        <f t="shared" si="12"/>
        <v>18287.63</v>
      </c>
    </row>
    <row r="187" spans="1:15" ht="13.2" x14ac:dyDescent="0.25">
      <c r="A187" s="9" t="s">
        <v>36</v>
      </c>
      <c r="B187" s="5" t="s">
        <v>90</v>
      </c>
      <c r="C187" s="7">
        <v>40382</v>
      </c>
      <c r="D187" s="8">
        <v>157349.54</v>
      </c>
      <c r="E187" s="7">
        <v>85969</v>
      </c>
      <c r="F187" s="8">
        <v>81613</v>
      </c>
      <c r="G187" s="7">
        <v>47684</v>
      </c>
      <c r="H187" s="8">
        <v>82055.5</v>
      </c>
      <c r="I187" s="7">
        <v>43461.05</v>
      </c>
      <c r="J187" s="8">
        <v>42858</v>
      </c>
      <c r="K187" s="7">
        <v>52300</v>
      </c>
      <c r="L187" s="8"/>
      <c r="M187" s="7"/>
      <c r="N187" s="42"/>
      <c r="O187" s="34">
        <f t="shared" si="12"/>
        <v>633672.09000000008</v>
      </c>
    </row>
    <row r="188" spans="1:15" ht="13.2" x14ac:dyDescent="0.25">
      <c r="A188" s="9" t="s">
        <v>37</v>
      </c>
      <c r="B188" s="5" t="s">
        <v>95</v>
      </c>
      <c r="C188" s="7">
        <v>0</v>
      </c>
      <c r="D188" s="8">
        <v>0</v>
      </c>
      <c r="E188" s="7">
        <v>0</v>
      </c>
      <c r="F188" s="8">
        <v>0</v>
      </c>
      <c r="G188" s="7">
        <v>0</v>
      </c>
      <c r="H188" s="8">
        <v>0</v>
      </c>
      <c r="I188" s="7">
        <v>1650</v>
      </c>
      <c r="J188" s="8">
        <v>0</v>
      </c>
      <c r="K188" s="7">
        <v>0</v>
      </c>
      <c r="L188" s="8"/>
      <c r="M188" s="7"/>
      <c r="N188" s="42"/>
      <c r="O188" s="34">
        <f t="shared" si="12"/>
        <v>1650</v>
      </c>
    </row>
    <row r="189" spans="1:15" ht="13.2" x14ac:dyDescent="0.25">
      <c r="A189" s="9" t="s">
        <v>38</v>
      </c>
      <c r="B189" s="5" t="s">
        <v>96</v>
      </c>
      <c r="C189" s="7">
        <v>0</v>
      </c>
      <c r="D189" s="8">
        <v>0</v>
      </c>
      <c r="E189" s="7">
        <v>9500</v>
      </c>
      <c r="F189" s="8">
        <v>0</v>
      </c>
      <c r="G189" s="7">
        <v>26100</v>
      </c>
      <c r="H189" s="8">
        <v>0</v>
      </c>
      <c r="I189" s="7">
        <v>0</v>
      </c>
      <c r="J189" s="8">
        <v>0</v>
      </c>
      <c r="K189" s="7">
        <v>0</v>
      </c>
      <c r="L189" s="8"/>
      <c r="M189" s="7"/>
      <c r="N189" s="42"/>
      <c r="O189" s="34">
        <f t="shared" si="12"/>
        <v>35600</v>
      </c>
    </row>
    <row r="190" spans="1:15" ht="13.2" x14ac:dyDescent="0.25">
      <c r="A190" s="9"/>
      <c r="B190" s="5"/>
      <c r="C190" s="7"/>
      <c r="D190" s="8"/>
      <c r="E190" s="7"/>
      <c r="F190" s="8"/>
      <c r="G190" s="7"/>
      <c r="H190" s="8"/>
      <c r="I190" s="7"/>
      <c r="J190" s="8"/>
      <c r="K190" s="7"/>
      <c r="L190" s="8"/>
      <c r="M190" s="7"/>
      <c r="N190" s="42"/>
      <c r="O190" s="34">
        <f t="shared" si="12"/>
        <v>0</v>
      </c>
    </row>
    <row r="191" spans="1:15" ht="13.2" x14ac:dyDescent="0.25">
      <c r="A191" s="9"/>
      <c r="B191" s="5"/>
      <c r="C191" s="7"/>
      <c r="D191" s="8"/>
      <c r="E191" s="7"/>
      <c r="F191" s="8"/>
      <c r="G191" s="7"/>
      <c r="H191" s="8"/>
      <c r="I191" s="7"/>
      <c r="J191" s="8"/>
      <c r="K191" s="7"/>
      <c r="L191" s="8"/>
      <c r="M191" s="7"/>
      <c r="N191" s="42"/>
      <c r="O191" s="34">
        <f t="shared" si="12"/>
        <v>0</v>
      </c>
    </row>
    <row r="192" spans="1:15" ht="13.2" x14ac:dyDescent="0.25">
      <c r="A192" s="9"/>
      <c r="B192" s="5"/>
      <c r="C192" s="7"/>
      <c r="D192" s="8"/>
      <c r="E192" s="7"/>
      <c r="F192" s="8"/>
      <c r="G192" s="7"/>
      <c r="H192" s="8"/>
      <c r="I192" s="7"/>
      <c r="J192" s="8"/>
      <c r="K192" s="7"/>
      <c r="L192" s="8"/>
      <c r="M192" s="7"/>
      <c r="N192" s="42"/>
      <c r="O192" s="34">
        <f t="shared" si="12"/>
        <v>0</v>
      </c>
    </row>
    <row r="193" spans="1:15" ht="13.2" x14ac:dyDescent="0.25">
      <c r="A193" s="9"/>
      <c r="B193" s="5"/>
      <c r="C193" s="7"/>
      <c r="D193" s="8"/>
      <c r="E193" s="7"/>
      <c r="F193" s="8"/>
      <c r="G193" s="7"/>
      <c r="H193" s="8"/>
      <c r="I193" s="7"/>
      <c r="J193" s="8"/>
      <c r="K193" s="7"/>
      <c r="L193" s="8"/>
      <c r="M193" s="7"/>
      <c r="N193" s="42"/>
      <c r="O193" s="34">
        <f t="shared" si="12"/>
        <v>0</v>
      </c>
    </row>
    <row r="194" spans="1:15" ht="13.2" x14ac:dyDescent="0.25">
      <c r="A194" s="9"/>
      <c r="B194" s="5"/>
      <c r="C194" s="7"/>
      <c r="D194" s="8"/>
      <c r="E194" s="7"/>
      <c r="F194" s="8"/>
      <c r="G194" s="7"/>
      <c r="H194" s="8"/>
      <c r="I194" s="7"/>
      <c r="J194" s="8"/>
      <c r="K194" s="7"/>
      <c r="L194" s="8"/>
      <c r="M194" s="7"/>
      <c r="N194" s="42"/>
      <c r="O194" s="34">
        <f t="shared" si="12"/>
        <v>0</v>
      </c>
    </row>
    <row r="195" spans="1:15" ht="13.2" x14ac:dyDescent="0.25">
      <c r="A195" s="9"/>
      <c r="B195" s="5"/>
      <c r="C195" s="7"/>
      <c r="D195" s="8"/>
      <c r="E195" s="7"/>
      <c r="F195" s="8"/>
      <c r="G195" s="7"/>
      <c r="H195" s="8"/>
      <c r="I195" s="7"/>
      <c r="J195" s="8"/>
      <c r="K195" s="7"/>
      <c r="L195" s="8"/>
      <c r="M195" s="7"/>
      <c r="N195" s="42"/>
      <c r="O195" s="34">
        <f t="shared" si="12"/>
        <v>0</v>
      </c>
    </row>
    <row r="196" spans="1:15" ht="13.2" x14ac:dyDescent="0.25">
      <c r="A196" s="9"/>
      <c r="B196" s="5"/>
      <c r="C196" s="7"/>
      <c r="D196" s="8"/>
      <c r="E196" s="7"/>
      <c r="F196" s="8"/>
      <c r="G196" s="7"/>
      <c r="H196" s="8"/>
      <c r="I196" s="7"/>
      <c r="J196" s="8"/>
      <c r="K196" s="7"/>
      <c r="L196" s="8"/>
      <c r="M196" s="7"/>
      <c r="N196" s="42"/>
      <c r="O196" s="34">
        <f t="shared" si="12"/>
        <v>0</v>
      </c>
    </row>
    <row r="197" spans="1:15" ht="13.2" x14ac:dyDescent="0.25">
      <c r="A197" s="9"/>
      <c r="B197" s="5"/>
      <c r="C197" s="7"/>
      <c r="D197" s="8"/>
      <c r="E197" s="7"/>
      <c r="F197" s="8"/>
      <c r="G197" s="7"/>
      <c r="H197" s="8"/>
      <c r="I197" s="7"/>
      <c r="J197" s="8"/>
      <c r="K197" s="7"/>
      <c r="L197" s="8"/>
      <c r="M197" s="7"/>
      <c r="N197" s="42"/>
      <c r="O197" s="34">
        <f t="shared" si="12"/>
        <v>0</v>
      </c>
    </row>
    <row r="198" spans="1:15" ht="13.2" x14ac:dyDescent="0.25">
      <c r="A198" s="4"/>
      <c r="B198" s="10" t="s">
        <v>23</v>
      </c>
      <c r="C198" s="30">
        <f>SUM(C180:C197)</f>
        <v>159168.23000000001</v>
      </c>
      <c r="D198" s="40">
        <f t="shared" ref="D198:F198" si="13">SUM(D180:D197)</f>
        <v>302442.32999999996</v>
      </c>
      <c r="E198" s="31">
        <f t="shared" si="13"/>
        <v>359976.1</v>
      </c>
      <c r="F198" s="40">
        <f t="shared" si="13"/>
        <v>562337.55000000005</v>
      </c>
      <c r="G198" s="31">
        <f>SUM(G180:G197)</f>
        <v>213620.85</v>
      </c>
      <c r="H198" s="40">
        <f>SUM(H180:H197)</f>
        <v>242909</v>
      </c>
      <c r="I198" s="31">
        <f>SUM(I178:I197)</f>
        <v>224745.69</v>
      </c>
      <c r="J198" s="31">
        <f>SUM(J178:J197)</f>
        <v>192990.15</v>
      </c>
      <c r="K198" s="31">
        <f t="shared" ref="K198:N198" si="14">SUM(K178:K197)</f>
        <v>360617.8</v>
      </c>
      <c r="L198" s="31">
        <f t="shared" si="14"/>
        <v>0</v>
      </c>
      <c r="M198" s="31">
        <f t="shared" si="14"/>
        <v>0</v>
      </c>
      <c r="N198" s="31">
        <f t="shared" si="14"/>
        <v>0</v>
      </c>
      <c r="O198" s="40">
        <f>SUM(O178:O197)</f>
        <v>2618807.7000000002</v>
      </c>
    </row>
    <row r="199" spans="1:15" ht="13.2" x14ac:dyDescent="0.25">
      <c r="A199" s="3" t="s">
        <v>24</v>
      </c>
      <c r="B199" s="11"/>
      <c r="C199" s="12"/>
      <c r="D199" s="12"/>
      <c r="E199" s="12"/>
      <c r="F199" s="12"/>
      <c r="G199" s="12" t="s">
        <v>57</v>
      </c>
      <c r="H199" s="12"/>
      <c r="I199" s="12"/>
      <c r="J199" s="12"/>
      <c r="K199" s="12"/>
      <c r="L199" s="24"/>
      <c r="M199" s="24"/>
      <c r="N199" s="24"/>
      <c r="O199" s="25"/>
    </row>
    <row r="200" spans="1:15" ht="13.2" x14ac:dyDescent="0.25">
      <c r="A200" s="4"/>
      <c r="B200" s="2"/>
      <c r="C200" s="7"/>
      <c r="D200" s="7"/>
      <c r="E200" s="7"/>
      <c r="F200" s="7"/>
      <c r="G200" s="7"/>
      <c r="H200" s="7"/>
      <c r="I200" s="7"/>
      <c r="J200" s="7"/>
      <c r="K200" s="7"/>
      <c r="O200" s="26"/>
    </row>
    <row r="201" spans="1:15" ht="13.2" x14ac:dyDescent="0.25">
      <c r="A201" s="6"/>
      <c r="B201" s="14"/>
      <c r="C201" s="7"/>
      <c r="D201" s="7"/>
      <c r="E201" s="7"/>
      <c r="F201" s="7"/>
      <c r="G201" s="7"/>
      <c r="H201" s="15"/>
      <c r="I201" s="15"/>
      <c r="J201" s="15"/>
      <c r="K201" s="7"/>
      <c r="O201" s="26"/>
    </row>
    <row r="202" spans="1:15" ht="13.2" x14ac:dyDescent="0.25">
      <c r="A202" s="98" t="s">
        <v>64</v>
      </c>
      <c r="B202" s="99"/>
      <c r="C202" s="7"/>
      <c r="D202" s="7"/>
      <c r="E202" s="7"/>
      <c r="F202" s="7"/>
      <c r="G202" s="7"/>
      <c r="H202" s="90" t="s">
        <v>65</v>
      </c>
      <c r="I202" s="90"/>
      <c r="J202" s="90"/>
      <c r="K202" s="7"/>
      <c r="O202" s="26"/>
    </row>
    <row r="203" spans="1:15" ht="13.2" x14ac:dyDescent="0.25">
      <c r="A203" s="100" t="s">
        <v>25</v>
      </c>
      <c r="B203" s="101"/>
      <c r="C203" s="15"/>
      <c r="D203" s="15"/>
      <c r="E203" s="15"/>
      <c r="F203" s="15"/>
      <c r="G203" s="15"/>
      <c r="H203" s="102" t="s">
        <v>58</v>
      </c>
      <c r="I203" s="102"/>
      <c r="J203" s="102"/>
      <c r="K203" s="15"/>
      <c r="L203" s="27"/>
      <c r="M203" s="27"/>
      <c r="N203" s="27"/>
      <c r="O203" s="28"/>
    </row>
    <row r="204" spans="1:15" ht="13.2" x14ac:dyDescent="0.25">
      <c r="A204" s="96" t="s">
        <v>26</v>
      </c>
      <c r="B204" s="97"/>
      <c r="C204" s="15"/>
      <c r="D204" s="15"/>
      <c r="E204" s="15"/>
      <c r="F204" s="15"/>
      <c r="G204" s="15"/>
      <c r="H204" s="15" t="s">
        <v>26</v>
      </c>
      <c r="I204" s="15"/>
      <c r="J204" s="15"/>
      <c r="K204" s="7"/>
    </row>
    <row r="205" spans="1:15" x14ac:dyDescent="0.25">
      <c r="C205" s="1"/>
      <c r="D205" s="1"/>
      <c r="E205" s="1"/>
      <c r="F205" s="1"/>
      <c r="G205" s="1"/>
      <c r="H205" s="1"/>
      <c r="I205" s="1"/>
      <c r="J205" s="1"/>
      <c r="K205" s="1"/>
    </row>
    <row r="206" spans="1:15" x14ac:dyDescent="0.25">
      <c r="C206" s="1"/>
      <c r="D206" s="1"/>
      <c r="E206" s="1"/>
      <c r="F206" s="1"/>
      <c r="G206" s="1"/>
      <c r="H206" s="1"/>
      <c r="I206" s="1"/>
      <c r="J206" s="1"/>
      <c r="K206" s="1"/>
    </row>
  </sheetData>
  <mergeCells count="36">
    <mergeCell ref="A204:B204"/>
    <mergeCell ref="A202:B202"/>
    <mergeCell ref="A2:O2"/>
    <mergeCell ref="A3:O3"/>
    <mergeCell ref="A4:O4"/>
    <mergeCell ref="H78:J78"/>
    <mergeCell ref="H79:J79"/>
    <mergeCell ref="A43:O43"/>
    <mergeCell ref="A44:O44"/>
    <mergeCell ref="A78:B78"/>
    <mergeCell ref="A40:B40"/>
    <mergeCell ref="A41:B41"/>
    <mergeCell ref="A39:B39"/>
    <mergeCell ref="A161:B161"/>
    <mergeCell ref="A162:B162"/>
    <mergeCell ref="A160:B160"/>
    <mergeCell ref="A203:B203"/>
    <mergeCell ref="H160:J160"/>
    <mergeCell ref="H161:J161"/>
    <mergeCell ref="A166:O166"/>
    <mergeCell ref="A167:O167"/>
    <mergeCell ref="A168:O168"/>
    <mergeCell ref="H202:J202"/>
    <mergeCell ref="H203:J203"/>
    <mergeCell ref="A45:O45"/>
    <mergeCell ref="A84:O84"/>
    <mergeCell ref="A85:O85"/>
    <mergeCell ref="A86:O86"/>
    <mergeCell ref="A120:B120"/>
    <mergeCell ref="A79:B79"/>
    <mergeCell ref="A80:B80"/>
    <mergeCell ref="A121:B121"/>
    <mergeCell ref="A119:B119"/>
    <mergeCell ref="A125:O125"/>
    <mergeCell ref="A126:O126"/>
    <mergeCell ref="A127:O127"/>
  </mergeCells>
  <pageMargins left="0.25" right="0.25" top="0.5" bottom="0.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C8" workbookViewId="0">
      <selection activeCell="B52" sqref="B52"/>
    </sheetView>
  </sheetViews>
  <sheetFormatPr defaultRowHeight="12.6" x14ac:dyDescent="0.25"/>
  <cols>
    <col min="1" max="1" width="3.109375" customWidth="1"/>
    <col min="2" max="2" width="39" customWidth="1"/>
    <col min="3" max="14" width="12.6640625" customWidth="1"/>
    <col min="15" max="15" width="13.88671875" customWidth="1"/>
  </cols>
  <sheetData>
    <row r="1" spans="1:15" ht="13.2" x14ac:dyDescent="0.25">
      <c r="A1" s="36"/>
      <c r="B1" s="36"/>
      <c r="C1" s="7"/>
      <c r="D1" s="7"/>
      <c r="E1" s="7"/>
      <c r="F1" s="7"/>
      <c r="G1" s="7"/>
      <c r="H1" s="7"/>
      <c r="I1" s="7"/>
      <c r="J1" s="7"/>
      <c r="K1" s="7"/>
    </row>
    <row r="2" spans="1:15" ht="13.2" x14ac:dyDescent="0.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3.2" x14ac:dyDescent="0.25">
      <c r="A3" s="92" t="s">
        <v>86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2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3.2" x14ac:dyDescent="0.25">
      <c r="A5" s="2" t="s">
        <v>3</v>
      </c>
      <c r="B5" s="2"/>
      <c r="C5" s="2" t="s">
        <v>7</v>
      </c>
      <c r="D5" s="2"/>
      <c r="E5" s="2"/>
      <c r="F5" s="2"/>
      <c r="G5" s="2"/>
      <c r="H5" s="2"/>
      <c r="I5" s="2"/>
      <c r="J5" s="2"/>
      <c r="K5" s="2"/>
    </row>
    <row r="6" spans="1:15" ht="13.2" x14ac:dyDescent="0.25">
      <c r="A6" s="2" t="s">
        <v>4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t="s">
        <v>1</v>
      </c>
    </row>
    <row r="7" spans="1:15" ht="13.2" x14ac:dyDescent="0.25">
      <c r="A7" s="2" t="s">
        <v>5</v>
      </c>
      <c r="B7" s="2"/>
      <c r="C7" s="16" t="s">
        <v>63</v>
      </c>
      <c r="D7" s="2"/>
      <c r="E7" s="2"/>
      <c r="F7" s="2"/>
      <c r="G7" s="2"/>
      <c r="H7" s="2"/>
      <c r="I7" s="2"/>
      <c r="J7" s="2"/>
      <c r="K7" s="2"/>
    </row>
    <row r="8" spans="1:15" ht="13.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13.2" x14ac:dyDescent="0.25">
      <c r="A9" s="37" t="s">
        <v>8</v>
      </c>
      <c r="B9" s="38"/>
      <c r="C9" s="54" t="s">
        <v>48</v>
      </c>
      <c r="D9" s="22" t="s">
        <v>49</v>
      </c>
      <c r="E9" s="55" t="s">
        <v>50</v>
      </c>
      <c r="F9" s="22" t="s">
        <v>51</v>
      </c>
      <c r="G9" s="55" t="s">
        <v>52</v>
      </c>
      <c r="H9" s="22" t="s">
        <v>53</v>
      </c>
      <c r="I9" s="54" t="s">
        <v>66</v>
      </c>
      <c r="J9" s="22" t="s">
        <v>67</v>
      </c>
      <c r="K9" s="54" t="s">
        <v>68</v>
      </c>
      <c r="L9" s="22" t="s">
        <v>69</v>
      </c>
      <c r="M9" s="54" t="s">
        <v>70</v>
      </c>
      <c r="N9" s="22" t="s">
        <v>71</v>
      </c>
      <c r="O9" s="33" t="s">
        <v>23</v>
      </c>
    </row>
    <row r="10" spans="1:15" ht="13.2" x14ac:dyDescent="0.25">
      <c r="A10" s="3" t="s">
        <v>9</v>
      </c>
      <c r="B10" s="5"/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34"/>
    </row>
    <row r="11" spans="1:15" ht="13.2" x14ac:dyDescent="0.25">
      <c r="A11" s="4"/>
      <c r="B11" s="5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34"/>
    </row>
    <row r="12" spans="1:15" ht="13.2" x14ac:dyDescent="0.25">
      <c r="A12" s="4" t="s">
        <v>10</v>
      </c>
      <c r="B12" s="5"/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8"/>
      <c r="O12" s="34"/>
    </row>
    <row r="13" spans="1:15" ht="13.2" x14ac:dyDescent="0.25">
      <c r="A13" s="4"/>
      <c r="B13" s="5"/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8"/>
      <c r="O13" s="34"/>
    </row>
    <row r="14" spans="1:15" ht="13.2" x14ac:dyDescent="0.25">
      <c r="A14" s="4" t="s">
        <v>11</v>
      </c>
      <c r="B14" s="5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34"/>
    </row>
    <row r="15" spans="1:15" ht="13.2" x14ac:dyDescent="0.25">
      <c r="A15" s="9" t="s">
        <v>29</v>
      </c>
      <c r="B15" s="5" t="s">
        <v>12</v>
      </c>
      <c r="C15" s="7">
        <f>[1]Sheet1!F3+[1]Sheet1!F4</f>
        <v>127079.5</v>
      </c>
      <c r="D15" s="8">
        <f>[1]Sheet1!F5</f>
        <v>17535</v>
      </c>
      <c r="E15" s="7">
        <f>[1]Sheet1!F6+[1]Sheet1!F7</f>
        <v>64374</v>
      </c>
      <c r="F15" s="8">
        <f>[1]Sheet1!F8+[1]Sheet1!F9+[1]Sheet1!F10</f>
        <v>1465065</v>
      </c>
      <c r="G15" s="7">
        <v>688766.4</v>
      </c>
      <c r="H15" s="8">
        <v>44466.5</v>
      </c>
      <c r="I15" s="7">
        <f>2459950.9-2407286.4</f>
        <v>52664.5</v>
      </c>
      <c r="J15" s="8">
        <f>2518606.65-2459950.9</f>
        <v>58655.75</v>
      </c>
      <c r="K15" s="7">
        <f>2537930.15-2518606.65</f>
        <v>19323.5</v>
      </c>
      <c r="L15" s="8"/>
      <c r="M15" s="7">
        <f>2692705.15-2537930.15</f>
        <v>154775</v>
      </c>
      <c r="N15" s="8">
        <f>1574832.69+1400000-2692705.15</f>
        <v>282127.54000000004</v>
      </c>
      <c r="O15" s="34">
        <f>SUM(C15:N15)</f>
        <v>2974832.69</v>
      </c>
    </row>
    <row r="16" spans="1:15" ht="13.2" x14ac:dyDescent="0.25">
      <c r="A16" s="9" t="s">
        <v>30</v>
      </c>
      <c r="B16" s="5" t="s">
        <v>13</v>
      </c>
      <c r="C16" s="7">
        <f>[1]Sheet1!F11+[1]Sheet1!F12+[1]Sheet1!F13+[1]Sheet1!F14+[1]Sheet1!F15</f>
        <v>131677.12</v>
      </c>
      <c r="D16" s="8">
        <f>[1]Sheet1!F16+[1]Sheet1!F17+[1]Sheet1!F18+[1]Sheet1!F19+[1]Sheet1!F20+[1]Sheet1!F21+[1]Sheet1!F22</f>
        <v>389396.5</v>
      </c>
      <c r="E16" s="7">
        <f>[1]Sheet1!F23+[1]Sheet1!F24+[1]Sheet1!F25+[1]Sheet1!F26+[1]Sheet1!F27+[1]Sheet1!F28+[1]Sheet1!F29+[1]Sheet1!F30+[1]Sheet1!F31+[1]Sheet1!F32+[1]Sheet1!F33+[1]Sheet1!F34</f>
        <v>707986</v>
      </c>
      <c r="F16" s="8">
        <f>34122+14350+4255+11779+24182+11589+33440</f>
        <v>133717</v>
      </c>
      <c r="G16" s="7">
        <v>283697.58</v>
      </c>
      <c r="H16" s="8">
        <v>266228</v>
      </c>
      <c r="I16" s="7">
        <f>2097215.32-1806018.32</f>
        <v>291196.99999999977</v>
      </c>
      <c r="J16" s="8">
        <f>2489014.32-2093715.32</f>
        <v>395298.99999999977</v>
      </c>
      <c r="K16" s="7">
        <f>2812585.32-2489014.32</f>
        <v>323571</v>
      </c>
      <c r="L16" s="8">
        <f>9620+385</f>
        <v>10005</v>
      </c>
      <c r="M16" s="7">
        <f>3260907.32-2822590.32</f>
        <v>438317</v>
      </c>
      <c r="N16" s="8">
        <f>4138101.32-3260907.32</f>
        <v>877194</v>
      </c>
      <c r="O16" s="34">
        <f t="shared" ref="O16:O32" si="0">SUM(C16:N16)</f>
        <v>4248285.2</v>
      </c>
    </row>
    <row r="17" spans="1:15" ht="13.2" x14ac:dyDescent="0.25">
      <c r="A17" s="9" t="s">
        <v>31</v>
      </c>
      <c r="B17" s="5" t="s">
        <v>14</v>
      </c>
      <c r="C17" s="7">
        <f>[1]Sheet1!F35+[1]Sheet1!F36+[1]Sheet1!F37+[1]Sheet1!F38+[1]Sheet1!F39+[1]Sheet1!F40+[1]Sheet1!F41+[1]Sheet1!F42</f>
        <v>94500</v>
      </c>
      <c r="D17" s="8"/>
      <c r="E17" s="7"/>
      <c r="F17" s="8"/>
      <c r="G17" s="7"/>
      <c r="H17" s="8"/>
      <c r="I17" s="7"/>
      <c r="J17" s="8"/>
      <c r="K17" s="7"/>
      <c r="L17" s="8"/>
      <c r="M17" s="7"/>
      <c r="N17" s="8"/>
      <c r="O17" s="34">
        <f t="shared" si="0"/>
        <v>94500</v>
      </c>
    </row>
    <row r="18" spans="1:15" ht="13.2" x14ac:dyDescent="0.25">
      <c r="A18" s="9" t="s">
        <v>32</v>
      </c>
      <c r="B18" s="5" t="s">
        <v>15</v>
      </c>
      <c r="C18" s="7">
        <f>[1]Sheet1!F45+[1]Sheet1!F46+[1]Sheet1!F47+[1]Sheet1!F48+[1]Sheet1!F49</f>
        <v>10700</v>
      </c>
      <c r="D18" s="8">
        <f>[1]Sheet1!F50+[1]Sheet1!F51</f>
        <v>2000</v>
      </c>
      <c r="E18" s="7">
        <f>[1]Sheet1!F52+[1]Sheet1!F53+[1]Sheet1!F54+[1]Sheet1!F55+[1]Sheet1!F56+[1]Sheet1!F57</f>
        <v>9000</v>
      </c>
      <c r="F18" s="8">
        <v>598000</v>
      </c>
      <c r="G18" s="7">
        <v>167000</v>
      </c>
      <c r="H18" s="8">
        <v>31000</v>
      </c>
      <c r="I18" s="7">
        <f>855700-807200</f>
        <v>48500</v>
      </c>
      <c r="J18" s="8">
        <f>1320200-866200+1500</f>
        <v>455500</v>
      </c>
      <c r="K18" s="7">
        <f>1334200-1320200</f>
        <v>14000</v>
      </c>
      <c r="L18" s="8">
        <f>1760350-1334200</f>
        <v>426150</v>
      </c>
      <c r="M18" s="7">
        <f>1815850-1760350</f>
        <v>55500</v>
      </c>
      <c r="N18" s="8">
        <f>2115450+2000-1815850</f>
        <v>301600</v>
      </c>
      <c r="O18" s="34">
        <f t="shared" si="0"/>
        <v>2118950</v>
      </c>
    </row>
    <row r="19" spans="1:15" ht="13.2" x14ac:dyDescent="0.25">
      <c r="A19" s="9" t="s">
        <v>33</v>
      </c>
      <c r="B19" s="5" t="s">
        <v>16</v>
      </c>
      <c r="C19" s="7">
        <f>[1]Sheet1!F81+[1]Sheet1!F82+[1]Sheet1!F83</f>
        <v>24333</v>
      </c>
      <c r="D19" s="8">
        <f>[1]Sheet1!F84+[1]Sheet1!F85</f>
        <v>21680</v>
      </c>
      <c r="E19" s="7">
        <f>[1]Sheet1!F86</f>
        <v>28260</v>
      </c>
      <c r="F19" s="8">
        <f>[1]Sheet1!F87</f>
        <v>6000</v>
      </c>
      <c r="G19" s="7"/>
      <c r="H19" s="8"/>
      <c r="I19" s="7"/>
      <c r="J19" s="8"/>
      <c r="K19" s="7"/>
      <c r="L19" s="8"/>
      <c r="M19" s="7"/>
      <c r="N19" s="8"/>
      <c r="O19" s="34">
        <f t="shared" si="0"/>
        <v>80273</v>
      </c>
    </row>
    <row r="20" spans="1:15" ht="13.2" x14ac:dyDescent="0.25">
      <c r="A20" s="9" t="s">
        <v>34</v>
      </c>
      <c r="B20" s="5" t="s">
        <v>27</v>
      </c>
      <c r="C20" s="7"/>
      <c r="D20" s="8"/>
      <c r="E20" s="7"/>
      <c r="F20" s="8"/>
      <c r="G20" s="7">
        <v>507500</v>
      </c>
      <c r="H20" s="8">
        <f>105000-2625</f>
        <v>102375</v>
      </c>
      <c r="I20" s="7"/>
      <c r="J20" s="8"/>
      <c r="K20" s="7"/>
      <c r="L20" s="8"/>
      <c r="M20" s="7"/>
      <c r="N20" s="8"/>
      <c r="O20" s="34">
        <f t="shared" si="0"/>
        <v>609875</v>
      </c>
    </row>
    <row r="21" spans="1:15" ht="13.2" x14ac:dyDescent="0.25">
      <c r="A21" s="9" t="s">
        <v>35</v>
      </c>
      <c r="B21" s="5" t="s">
        <v>28</v>
      </c>
      <c r="C21" s="7"/>
      <c r="D21" s="8"/>
      <c r="E21" s="7"/>
      <c r="F21" s="8">
        <f>[1]Sheet1!F93</f>
        <v>19500</v>
      </c>
      <c r="G21" s="7">
        <v>41550</v>
      </c>
      <c r="H21" s="8"/>
      <c r="I21" s="7">
        <v>32180</v>
      </c>
      <c r="J21" s="8">
        <f>132145-93230</f>
        <v>38915</v>
      </c>
      <c r="K21" s="7"/>
      <c r="L21" s="8"/>
      <c r="M21" s="7"/>
      <c r="N21" s="8"/>
      <c r="O21" s="34">
        <f t="shared" si="0"/>
        <v>132145</v>
      </c>
    </row>
    <row r="22" spans="1:15" ht="13.2" x14ac:dyDescent="0.25">
      <c r="A22" s="9" t="s">
        <v>36</v>
      </c>
      <c r="B22" s="5" t="s">
        <v>17</v>
      </c>
      <c r="C22" s="7">
        <f>[1]Sheet1!F88</f>
        <v>5300</v>
      </c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34">
        <f t="shared" si="0"/>
        <v>5300</v>
      </c>
    </row>
    <row r="23" spans="1:15" ht="13.2" x14ac:dyDescent="0.25">
      <c r="A23" s="9" t="s">
        <v>37</v>
      </c>
      <c r="B23" s="5" t="s">
        <v>56</v>
      </c>
      <c r="C23" s="7"/>
      <c r="D23" s="8">
        <f>[1]Sheet1!F89</f>
        <v>16100</v>
      </c>
      <c r="E23" s="7"/>
      <c r="F23" s="8"/>
      <c r="G23" s="7"/>
      <c r="H23" s="8">
        <v>20230</v>
      </c>
      <c r="I23" s="7"/>
      <c r="J23" s="8">
        <v>25640</v>
      </c>
      <c r="K23" s="7">
        <v>735</v>
      </c>
      <c r="L23" s="8"/>
      <c r="M23" s="7">
        <v>19300</v>
      </c>
      <c r="N23" s="8"/>
      <c r="O23" s="34">
        <f t="shared" si="0"/>
        <v>82005</v>
      </c>
    </row>
    <row r="24" spans="1:15" ht="13.2" x14ac:dyDescent="0.25">
      <c r="A24" s="9" t="s">
        <v>38</v>
      </c>
      <c r="B24" s="5" t="s">
        <v>18</v>
      </c>
      <c r="C24" s="7"/>
      <c r="D24" s="8"/>
      <c r="E24" s="7">
        <f>[1]Sheet1!F92</f>
        <v>15370</v>
      </c>
      <c r="F24" s="8"/>
      <c r="G24" s="7"/>
      <c r="H24" s="8"/>
      <c r="I24" s="7"/>
      <c r="J24" s="8"/>
      <c r="K24" s="7"/>
      <c r="L24" s="8"/>
      <c r="M24" s="7"/>
      <c r="N24" s="8"/>
      <c r="O24" s="34">
        <f t="shared" si="0"/>
        <v>15370</v>
      </c>
    </row>
    <row r="25" spans="1:15" ht="13.2" x14ac:dyDescent="0.25">
      <c r="A25" s="9" t="s">
        <v>39</v>
      </c>
      <c r="B25" s="5" t="s">
        <v>19</v>
      </c>
      <c r="C25" s="7">
        <f>[1]Sheet1!F94</f>
        <v>5000</v>
      </c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34">
        <f t="shared" si="0"/>
        <v>5000</v>
      </c>
    </row>
    <row r="26" spans="1:15" ht="13.2" x14ac:dyDescent="0.25">
      <c r="A26" s="9" t="s">
        <v>40</v>
      </c>
      <c r="B26" s="5" t="s">
        <v>20</v>
      </c>
      <c r="C26" s="7">
        <f>[1]Sheet1!F95+[1]Sheet1!F96+[1]Sheet1!F97+[1]Sheet1!F98+[1]Sheet1!F99+[1]Sheet1!F100+[1]Sheet1!F101+[1]Sheet1!F102+[1]Sheet1!F103+[1]Sheet1!F104+[1]Sheet1!F105+[1]Sheet1!F106+[1]Sheet1!F107+[1]Sheet1!F108+[1]Sheet1!F109+[1]Sheet1!F110+[1]Sheet1!F111+[1]Sheet1!F112+[1]Sheet1!F113+[1]Sheet1!F114</f>
        <v>43950</v>
      </c>
      <c r="D26" s="8">
        <f>[1]Sheet1!F115+[1]Sheet1!F116+[1]Sheet1!F117+[1]Sheet1!F118+[1]Sheet1!F119+[1]Sheet1!F120+[1]Sheet1!F121+[1]Sheet1!F122+[1]Sheet1!F123+[1]Sheet1!F124+[1]Sheet1!F125+[1]Sheet1!F126+[1]Sheet1!F127+[1]Sheet1!F128+[1]Sheet1!F129+[1]Sheet1!F130+[1]Sheet1!F131+[1]Sheet1!F132+[1]Sheet1!F133+[1]Sheet1!F134+[1]Sheet1!F135</f>
        <v>59950</v>
      </c>
      <c r="E26" s="7">
        <f>[1]Sheet1!F136+[1]Sheet1!F137+[1]Sheet1!F138+[1]Sheet1!F139+[1]Sheet1!F140+[1]Sheet1!F141+[1]Sheet1!F142+[1]Sheet1!F143+[1]Sheet1!F144+[1]Sheet1!F145+[1]Sheet1!F146+[1]Sheet1!F147+[1]Sheet1!F148+[1]Sheet1!F149+[1]Sheet1!F150+[1]Sheet1!F151</f>
        <v>4000</v>
      </c>
      <c r="F26" s="8">
        <v>60100</v>
      </c>
      <c r="G26" s="7"/>
      <c r="H26" s="8"/>
      <c r="I26" s="7"/>
      <c r="J26" s="8"/>
      <c r="K26" s="7"/>
      <c r="L26" s="8"/>
      <c r="M26" s="7"/>
      <c r="N26" s="8"/>
      <c r="O26" s="34">
        <f t="shared" si="0"/>
        <v>168000</v>
      </c>
    </row>
    <row r="27" spans="1:15" ht="13.2" x14ac:dyDescent="0.25">
      <c r="A27" s="9" t="s">
        <v>41</v>
      </c>
      <c r="B27" s="5" t="s">
        <v>0</v>
      </c>
      <c r="C27" s="7">
        <f>[1]Sheet1!F171+[1]Sheet1!F172</f>
        <v>50097</v>
      </c>
      <c r="D27" s="8">
        <f>[1]Sheet1!F173</f>
        <v>3000</v>
      </c>
      <c r="E27" s="7">
        <f>[1]Sheet1!F174</f>
        <v>9000</v>
      </c>
      <c r="F27" s="8"/>
      <c r="G27" s="7"/>
      <c r="H27" s="8"/>
      <c r="I27" s="7"/>
      <c r="J27" s="8"/>
      <c r="K27" s="7"/>
      <c r="L27" s="8"/>
      <c r="M27" s="7"/>
      <c r="N27" s="8"/>
      <c r="O27" s="34">
        <f t="shared" si="0"/>
        <v>62097</v>
      </c>
    </row>
    <row r="28" spans="1:15" ht="13.2" x14ac:dyDescent="0.25">
      <c r="A28" s="9" t="s">
        <v>42</v>
      </c>
      <c r="B28" s="5" t="s">
        <v>21</v>
      </c>
      <c r="C28" s="7"/>
      <c r="D28" s="8">
        <f>[1]Sheet1!F175</f>
        <v>2205</v>
      </c>
      <c r="E28" s="7"/>
      <c r="F28" s="8"/>
      <c r="G28" s="7">
        <v>5935</v>
      </c>
      <c r="H28" s="8">
        <v>29000</v>
      </c>
      <c r="I28" s="7"/>
      <c r="J28" s="8"/>
      <c r="K28" s="7"/>
      <c r="L28" s="8"/>
      <c r="M28" s="7">
        <f>45047.5-37140</f>
        <v>7907.5</v>
      </c>
      <c r="N28" s="8">
        <v>8995</v>
      </c>
      <c r="O28" s="34">
        <f t="shared" si="0"/>
        <v>54042.5</v>
      </c>
    </row>
    <row r="29" spans="1:15" ht="13.2" x14ac:dyDescent="0.25">
      <c r="A29" s="9" t="s">
        <v>43</v>
      </c>
      <c r="B29" s="5" t="s">
        <v>46</v>
      </c>
      <c r="C29" s="7"/>
      <c r="D29" s="8"/>
      <c r="E29" s="7"/>
      <c r="F29" s="8">
        <v>600</v>
      </c>
      <c r="G29" s="7"/>
      <c r="H29" s="8"/>
      <c r="I29" s="7"/>
      <c r="J29" s="8"/>
      <c r="K29" s="7"/>
      <c r="L29" s="8"/>
      <c r="M29" s="7"/>
      <c r="N29" s="8"/>
      <c r="O29" s="34">
        <f t="shared" si="0"/>
        <v>600</v>
      </c>
    </row>
    <row r="30" spans="1:15" ht="13.2" x14ac:dyDescent="0.25">
      <c r="A30" s="9" t="s">
        <v>44</v>
      </c>
      <c r="B30" s="5" t="s">
        <v>47</v>
      </c>
      <c r="C30" s="7"/>
      <c r="D30" s="8"/>
      <c r="E30" s="7"/>
      <c r="F30" s="8">
        <f>[1]Sheet1!F44</f>
        <v>17924</v>
      </c>
      <c r="G30" s="7"/>
      <c r="H30" s="8"/>
      <c r="I30" s="7"/>
      <c r="J30" s="8">
        <v>3655</v>
      </c>
      <c r="K30" s="7">
        <v>1600</v>
      </c>
      <c r="L30" s="8">
        <v>4000</v>
      </c>
      <c r="M30" s="7"/>
      <c r="N30" s="8"/>
      <c r="O30" s="34">
        <f t="shared" si="0"/>
        <v>27179</v>
      </c>
    </row>
    <row r="31" spans="1:15" ht="13.2" x14ac:dyDescent="0.25">
      <c r="A31" s="9" t="s">
        <v>45</v>
      </c>
      <c r="B31" s="5" t="s">
        <v>55</v>
      </c>
      <c r="C31" s="7"/>
      <c r="D31" s="8"/>
      <c r="E31" s="7"/>
      <c r="F31" s="8">
        <v>46200</v>
      </c>
      <c r="G31" s="7"/>
      <c r="H31" s="8"/>
      <c r="I31" s="7"/>
      <c r="J31" s="8"/>
      <c r="K31" s="7"/>
      <c r="L31" s="8"/>
      <c r="M31" s="7"/>
      <c r="N31" s="8"/>
      <c r="O31" s="34">
        <f t="shared" si="0"/>
        <v>46200</v>
      </c>
    </row>
    <row r="32" spans="1:15" ht="13.2" x14ac:dyDescent="0.25">
      <c r="A32" s="9" t="s">
        <v>54</v>
      </c>
      <c r="B32" s="5" t="s">
        <v>22</v>
      </c>
      <c r="C32" s="7">
        <v>18100</v>
      </c>
      <c r="D32" s="8"/>
      <c r="E32" s="7"/>
      <c r="F32" s="8"/>
      <c r="G32" s="7"/>
      <c r="H32" s="8"/>
      <c r="I32" s="7"/>
      <c r="J32" s="8"/>
      <c r="K32" s="7"/>
      <c r="L32" s="8"/>
      <c r="M32" s="7"/>
      <c r="N32" s="8">
        <v>204412</v>
      </c>
      <c r="O32" s="34">
        <f t="shared" si="0"/>
        <v>222512</v>
      </c>
    </row>
    <row r="33" spans="1:15" ht="13.2" x14ac:dyDescent="0.25">
      <c r="A33" s="4"/>
      <c r="B33" s="10" t="s">
        <v>23</v>
      </c>
      <c r="C33" s="23">
        <f t="shared" ref="C33:F33" si="1">SUM(C15:C32)</f>
        <v>510736.62</v>
      </c>
      <c r="D33" s="32">
        <f t="shared" si="1"/>
        <v>511866.5</v>
      </c>
      <c r="E33" s="23">
        <f t="shared" si="1"/>
        <v>837990</v>
      </c>
      <c r="F33" s="32">
        <f t="shared" si="1"/>
        <v>2347106</v>
      </c>
      <c r="G33" s="23">
        <f>SUM(G15:G32)</f>
        <v>1694448.98</v>
      </c>
      <c r="H33" s="32">
        <f>SUM(H15:H32)</f>
        <v>493299.5</v>
      </c>
      <c r="I33" s="23">
        <f>SUM(I13:I32)</f>
        <v>424541.49999999977</v>
      </c>
      <c r="J33" s="23">
        <f t="shared" ref="J33:N33" si="2">SUM(J13:J32)</f>
        <v>977664.74999999977</v>
      </c>
      <c r="K33" s="23">
        <f t="shared" si="2"/>
        <v>359229.5</v>
      </c>
      <c r="L33" s="23">
        <f t="shared" si="2"/>
        <v>440155</v>
      </c>
      <c r="M33" s="23">
        <f t="shared" si="2"/>
        <v>675799.5</v>
      </c>
      <c r="N33" s="23">
        <f t="shared" si="2"/>
        <v>1674328.54</v>
      </c>
      <c r="O33" s="29">
        <f>SUM(O13:O32)</f>
        <v>10947166.390000001</v>
      </c>
    </row>
    <row r="34" spans="1:15" ht="13.2" x14ac:dyDescent="0.25">
      <c r="A34" s="3" t="s">
        <v>24</v>
      </c>
      <c r="B34" s="11"/>
      <c r="C34" s="12"/>
      <c r="D34" s="12"/>
      <c r="E34" s="12"/>
      <c r="F34" s="12"/>
      <c r="G34" s="12" t="s">
        <v>57</v>
      </c>
      <c r="H34" s="12"/>
      <c r="I34" s="12"/>
      <c r="J34" s="12"/>
      <c r="K34" s="12"/>
      <c r="L34" s="24"/>
      <c r="M34" s="24"/>
      <c r="N34" s="24"/>
      <c r="O34" s="25"/>
    </row>
    <row r="35" spans="1:15" ht="13.2" x14ac:dyDescent="0.25">
      <c r="A35" s="4"/>
      <c r="B35" s="2"/>
      <c r="C35" s="7"/>
      <c r="D35" s="7"/>
      <c r="E35" s="7"/>
      <c r="F35" s="7"/>
      <c r="G35" s="7"/>
      <c r="H35" s="7"/>
      <c r="I35" s="7"/>
      <c r="J35" s="7"/>
      <c r="K35" s="7"/>
      <c r="O35" s="26"/>
    </row>
    <row r="36" spans="1:15" ht="13.2" x14ac:dyDescent="0.25">
      <c r="A36" s="4"/>
      <c r="B36" s="14"/>
      <c r="C36" s="7"/>
      <c r="D36" s="7"/>
      <c r="E36" s="7"/>
      <c r="F36" s="7"/>
      <c r="G36" s="7"/>
      <c r="H36" s="15"/>
      <c r="I36" s="15"/>
      <c r="J36" s="15"/>
      <c r="K36" s="7"/>
      <c r="O36" s="26"/>
    </row>
    <row r="37" spans="1:15" ht="13.2" x14ac:dyDescent="0.25">
      <c r="A37" s="98" t="s">
        <v>64</v>
      </c>
      <c r="B37" s="99"/>
      <c r="C37" s="7"/>
      <c r="D37" s="7"/>
      <c r="E37" s="7"/>
      <c r="F37" s="7"/>
      <c r="G37" s="7"/>
      <c r="H37" s="91" t="s">
        <v>65</v>
      </c>
      <c r="I37" s="91"/>
      <c r="J37" s="91"/>
      <c r="K37" s="7"/>
      <c r="O37" s="26"/>
    </row>
    <row r="38" spans="1:15" ht="13.2" x14ac:dyDescent="0.25">
      <c r="A38" s="98" t="s">
        <v>25</v>
      </c>
      <c r="B38" s="99"/>
      <c r="C38" s="7"/>
      <c r="D38" s="7"/>
      <c r="E38" s="7"/>
      <c r="F38" s="7"/>
      <c r="G38" s="7"/>
      <c r="H38" s="91" t="s">
        <v>58</v>
      </c>
      <c r="I38" s="91"/>
      <c r="J38" s="91"/>
      <c r="K38" s="7"/>
      <c r="O38" s="26"/>
    </row>
    <row r="39" spans="1:15" ht="13.2" x14ac:dyDescent="0.25">
      <c r="A39" s="96" t="s">
        <v>26</v>
      </c>
      <c r="B39" s="97"/>
      <c r="C39" s="15"/>
      <c r="D39" s="15"/>
      <c r="E39" s="15"/>
      <c r="F39" s="15"/>
      <c r="G39" s="15"/>
      <c r="H39" s="15" t="s">
        <v>26</v>
      </c>
      <c r="I39" s="15"/>
      <c r="J39" s="15"/>
      <c r="K39" s="15"/>
      <c r="L39" s="27"/>
      <c r="M39" s="27"/>
      <c r="N39" s="27"/>
      <c r="O39" s="28"/>
    </row>
  </sheetData>
  <mergeCells count="8">
    <mergeCell ref="A39:B39"/>
    <mergeCell ref="A2:O2"/>
    <mergeCell ref="A3:O3"/>
    <mergeCell ref="A4:O4"/>
    <mergeCell ref="A37:B37"/>
    <mergeCell ref="H37:J37"/>
    <mergeCell ref="A38:B38"/>
    <mergeCell ref="H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C8" workbookViewId="0">
      <selection activeCell="D30" sqref="D30"/>
    </sheetView>
  </sheetViews>
  <sheetFormatPr defaultRowHeight="12.6" x14ac:dyDescent="0.25"/>
  <cols>
    <col min="1" max="1" width="3.109375" customWidth="1"/>
    <col min="2" max="2" width="39" customWidth="1"/>
    <col min="3" max="14" width="12.6640625" customWidth="1"/>
    <col min="15" max="15" width="13.88671875" customWidth="1"/>
  </cols>
  <sheetData>
    <row r="1" spans="1:15" x14ac:dyDescent="0.25"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C2" s="1"/>
      <c r="D2" s="1"/>
      <c r="E2" s="1"/>
      <c r="F2" s="1"/>
      <c r="G2" s="1"/>
      <c r="H2" s="1"/>
      <c r="I2" s="1"/>
      <c r="J2" s="1"/>
      <c r="K2" s="1"/>
    </row>
    <row r="3" spans="1:15" ht="13.2" x14ac:dyDescent="0.25">
      <c r="A3" s="92" t="s">
        <v>80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2" x14ac:dyDescent="0.25">
      <c r="A4" s="92" t="s">
        <v>87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3.2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3.2" x14ac:dyDescent="0.25">
      <c r="A6" s="2" t="s">
        <v>3</v>
      </c>
      <c r="B6" s="2"/>
      <c r="C6" s="2" t="s">
        <v>7</v>
      </c>
      <c r="D6" s="2"/>
      <c r="E6" s="2"/>
      <c r="F6" s="2"/>
      <c r="G6" s="2"/>
      <c r="H6" s="2"/>
      <c r="I6" s="2"/>
      <c r="J6" s="2"/>
      <c r="K6" s="2"/>
    </row>
    <row r="7" spans="1:15" ht="13.2" x14ac:dyDescent="0.25">
      <c r="A7" s="2" t="s">
        <v>4</v>
      </c>
      <c r="B7" s="2"/>
      <c r="C7" s="2" t="s">
        <v>6</v>
      </c>
      <c r="D7" s="2"/>
      <c r="E7" s="2"/>
      <c r="F7" s="2"/>
      <c r="G7" s="2"/>
      <c r="H7" s="2"/>
      <c r="I7" s="2"/>
      <c r="J7" s="2"/>
      <c r="K7" s="2"/>
    </row>
    <row r="8" spans="1:15" ht="13.2" x14ac:dyDescent="0.25">
      <c r="A8" s="2" t="s">
        <v>5</v>
      </c>
      <c r="B8" s="2"/>
      <c r="C8" s="16" t="s">
        <v>63</v>
      </c>
      <c r="D8" s="2"/>
      <c r="E8" s="2"/>
      <c r="F8" s="2"/>
      <c r="G8" s="2"/>
      <c r="H8" s="2"/>
      <c r="I8" s="2"/>
      <c r="J8" s="2"/>
      <c r="K8" s="2"/>
    </row>
    <row r="9" spans="1:15" ht="13.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ht="13.2" x14ac:dyDescent="0.25">
      <c r="A10" s="37" t="s">
        <v>8</v>
      </c>
      <c r="B10" s="39"/>
      <c r="C10" s="54" t="s">
        <v>48</v>
      </c>
      <c r="D10" s="22" t="s">
        <v>49</v>
      </c>
      <c r="E10" s="55" t="s">
        <v>50</v>
      </c>
      <c r="F10" s="22" t="s">
        <v>51</v>
      </c>
      <c r="G10" s="55" t="s">
        <v>52</v>
      </c>
      <c r="H10" s="22" t="s">
        <v>53</v>
      </c>
      <c r="I10" s="54" t="s">
        <v>66</v>
      </c>
      <c r="J10" s="22" t="s">
        <v>67</v>
      </c>
      <c r="K10" s="54" t="s">
        <v>68</v>
      </c>
      <c r="L10" s="22" t="s">
        <v>69</v>
      </c>
      <c r="M10" s="54" t="s">
        <v>70</v>
      </c>
      <c r="N10" s="22" t="s">
        <v>71</v>
      </c>
      <c r="O10" s="33" t="s">
        <v>23</v>
      </c>
    </row>
    <row r="11" spans="1:15" ht="13.2" x14ac:dyDescent="0.25">
      <c r="A11" s="3" t="s">
        <v>9</v>
      </c>
      <c r="B11" s="5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34"/>
    </row>
    <row r="12" spans="1:15" ht="13.2" x14ac:dyDescent="0.25">
      <c r="A12" s="4"/>
      <c r="B12" s="5"/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8"/>
      <c r="O12" s="34"/>
    </row>
    <row r="13" spans="1:15" ht="13.2" x14ac:dyDescent="0.25">
      <c r="A13" s="4" t="s">
        <v>10</v>
      </c>
      <c r="B13" s="5"/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8"/>
      <c r="O13" s="34"/>
    </row>
    <row r="14" spans="1:15" ht="13.2" x14ac:dyDescent="0.25">
      <c r="A14" s="4"/>
      <c r="B14" s="5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34"/>
    </row>
    <row r="15" spans="1:15" ht="13.2" x14ac:dyDescent="0.25">
      <c r="A15" s="4" t="s">
        <v>11</v>
      </c>
      <c r="B15" s="5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  <c r="O15" s="34"/>
    </row>
    <row r="16" spans="1:15" ht="13.2" x14ac:dyDescent="0.25">
      <c r="A16" s="9" t="s">
        <v>29</v>
      </c>
      <c r="B16" s="5" t="s">
        <v>12</v>
      </c>
      <c r="C16" s="7">
        <v>112994.11</v>
      </c>
      <c r="D16" s="8">
        <f>228752.34-C16</f>
        <v>115758.23</v>
      </c>
      <c r="E16" s="7">
        <f>316513.09-194554.09</f>
        <v>121959.00000000003</v>
      </c>
      <c r="F16" s="8">
        <f>399908.54-316513.09</f>
        <v>83395.449999999953</v>
      </c>
      <c r="G16" s="7">
        <f>491790.86-399908.54</f>
        <v>91882.32</v>
      </c>
      <c r="H16" s="8">
        <f>578081.73-491790.86</f>
        <v>86290.87</v>
      </c>
      <c r="I16" s="7">
        <f>679820.04-578081.73</f>
        <v>101738.31000000006</v>
      </c>
      <c r="J16" s="8">
        <f>762326.36-679820.04</f>
        <v>82506.319999999949</v>
      </c>
      <c r="K16" s="7">
        <f>818729.41-762326.36</f>
        <v>56403.050000000047</v>
      </c>
      <c r="L16" s="8">
        <v>33058.339999999997</v>
      </c>
      <c r="M16" s="7">
        <f>931522.14-851787.75</f>
        <v>79734.390000000014</v>
      </c>
      <c r="N16" s="8">
        <f>1048752.86-931522.14</f>
        <v>117230.72000000009</v>
      </c>
      <c r="O16" s="34">
        <f>SUM(C16:N16)</f>
        <v>1082951.1100000001</v>
      </c>
    </row>
    <row r="17" spans="1:15" ht="13.2" x14ac:dyDescent="0.25">
      <c r="A17" s="9" t="s">
        <v>30</v>
      </c>
      <c r="B17" s="5" t="s">
        <v>13</v>
      </c>
      <c r="C17" s="7">
        <v>340493.5</v>
      </c>
      <c r="D17" s="8">
        <f>628082.5-C17</f>
        <v>287589</v>
      </c>
      <c r="E17" s="7">
        <f>1066289.5-623276.5</f>
        <v>443013</v>
      </c>
      <c r="F17" s="8">
        <f>1639389.5-1308602.5</f>
        <v>330787</v>
      </c>
      <c r="G17" s="7">
        <f>2086328-1639389.5</f>
        <v>446938.5</v>
      </c>
      <c r="H17" s="8">
        <f>2504222.2-2086328</f>
        <v>417894.20000000019</v>
      </c>
      <c r="I17" s="7">
        <f>2874127.2-2504222.2</f>
        <v>369905</v>
      </c>
      <c r="J17" s="8">
        <f>3387846.7-2874127.2</f>
        <v>513719.5</v>
      </c>
      <c r="K17" s="7">
        <f>3882972.7-3571273.7</f>
        <v>311699</v>
      </c>
      <c r="L17" s="8">
        <f>4251769.2-3882972.7</f>
        <v>368796.5</v>
      </c>
      <c r="M17" s="7">
        <f>4590576.45-4251769.2</f>
        <v>338807.25</v>
      </c>
      <c r="N17" s="8">
        <f>4821919.45-4590576.45</f>
        <v>231343</v>
      </c>
      <c r="O17" s="34">
        <f t="shared" ref="O17:O33" si="0">SUM(C17:N17)</f>
        <v>4400985.45</v>
      </c>
    </row>
    <row r="18" spans="1:15" ht="13.2" x14ac:dyDescent="0.25">
      <c r="A18" s="9" t="s">
        <v>31</v>
      </c>
      <c r="B18" s="5" t="s">
        <v>83</v>
      </c>
      <c r="C18" s="7"/>
      <c r="D18" s="8"/>
      <c r="E18" s="7"/>
      <c r="F18" s="8"/>
      <c r="G18" s="7"/>
      <c r="H18" s="8"/>
      <c r="I18" s="7"/>
      <c r="J18" s="8"/>
      <c r="K18" s="7"/>
      <c r="L18" s="8">
        <v>65000</v>
      </c>
      <c r="M18" s="7"/>
      <c r="N18" s="8"/>
      <c r="O18" s="34">
        <f t="shared" si="0"/>
        <v>65000</v>
      </c>
    </row>
    <row r="19" spans="1:15" ht="13.2" x14ac:dyDescent="0.25">
      <c r="A19" s="9" t="s">
        <v>32</v>
      </c>
      <c r="B19" s="5" t="s">
        <v>15</v>
      </c>
      <c r="C19" s="7">
        <v>12500</v>
      </c>
      <c r="D19" s="8">
        <f>29500-C19</f>
        <v>17000</v>
      </c>
      <c r="E19" s="7">
        <f>41500-29500</f>
        <v>12000</v>
      </c>
      <c r="F19" s="8"/>
      <c r="G19" s="7">
        <f>853500-39000</f>
        <v>814500</v>
      </c>
      <c r="H19" s="8">
        <f>898823-853500</f>
        <v>45323</v>
      </c>
      <c r="I19" s="7">
        <f>922823-898823</f>
        <v>24000</v>
      </c>
      <c r="J19" s="8"/>
      <c r="K19" s="7">
        <f>1412823-1397823</f>
        <v>15000</v>
      </c>
      <c r="L19" s="8">
        <f>1806888.05-1407823</f>
        <v>399065.05000000005</v>
      </c>
      <c r="M19" s="7">
        <f>1880388.05-1806888.05+3000</f>
        <v>76500</v>
      </c>
      <c r="N19" s="8">
        <f>2149588.05-1880388.05</f>
        <v>269199.99999999977</v>
      </c>
      <c r="O19" s="34">
        <f t="shared" si="0"/>
        <v>1685088.0499999998</v>
      </c>
    </row>
    <row r="20" spans="1:15" ht="13.2" x14ac:dyDescent="0.25">
      <c r="A20" s="9" t="s">
        <v>33</v>
      </c>
      <c r="B20" s="5" t="s">
        <v>16</v>
      </c>
      <c r="C20" s="7"/>
      <c r="D20" s="8"/>
      <c r="E20" s="7"/>
      <c r="F20" s="8"/>
      <c r="G20" s="7">
        <v>62565</v>
      </c>
      <c r="H20" s="8">
        <v>67685</v>
      </c>
      <c r="I20" s="7">
        <f>7960+40000</f>
        <v>47960</v>
      </c>
      <c r="J20" s="8">
        <f>1398823-922823</f>
        <v>476000</v>
      </c>
      <c r="K20" s="7">
        <v>64685</v>
      </c>
      <c r="L20" s="8">
        <v>34395</v>
      </c>
      <c r="M20" s="7">
        <v>54225</v>
      </c>
      <c r="N20" s="8">
        <v>109556</v>
      </c>
      <c r="O20" s="34">
        <f t="shared" si="0"/>
        <v>917071</v>
      </c>
    </row>
    <row r="21" spans="1:15" ht="13.2" x14ac:dyDescent="0.25">
      <c r="A21" s="9" t="s">
        <v>34</v>
      </c>
      <c r="B21" s="5" t="s">
        <v>27</v>
      </c>
      <c r="C21" s="7">
        <v>224000</v>
      </c>
      <c r="D21" s="8">
        <f>301000-C21</f>
        <v>77000</v>
      </c>
      <c r="E21" s="7"/>
      <c r="F21" s="8"/>
      <c r="G21" s="7"/>
      <c r="H21" s="8">
        <f>794500-276500</f>
        <v>518000</v>
      </c>
      <c r="I21" s="7">
        <f>1175939-794500</f>
        <v>381439</v>
      </c>
      <c r="J21" s="8"/>
      <c r="K21" s="7">
        <v>3500</v>
      </c>
      <c r="L21" s="8"/>
      <c r="M21" s="7"/>
      <c r="N21" s="8"/>
      <c r="O21" s="34">
        <f t="shared" si="0"/>
        <v>1203939</v>
      </c>
    </row>
    <row r="22" spans="1:15" ht="13.2" x14ac:dyDescent="0.25">
      <c r="A22" s="9" t="s">
        <v>35</v>
      </c>
      <c r="B22" s="5" t="s">
        <v>28</v>
      </c>
      <c r="C22" s="7">
        <v>13670</v>
      </c>
      <c r="D22" s="8">
        <f>33040-C22</f>
        <v>19370</v>
      </c>
      <c r="E22" s="7">
        <v>18995</v>
      </c>
      <c r="F22" s="8">
        <v>14950</v>
      </c>
      <c r="G22" s="7">
        <v>19730</v>
      </c>
      <c r="H22" s="8">
        <v>14380</v>
      </c>
      <c r="I22" s="7">
        <v>15375</v>
      </c>
      <c r="J22" s="8">
        <v>15375</v>
      </c>
      <c r="K22" s="7">
        <v>15960</v>
      </c>
      <c r="L22" s="8">
        <v>30790</v>
      </c>
      <c r="M22" s="7">
        <v>16920</v>
      </c>
      <c r="N22" s="8">
        <v>22150</v>
      </c>
      <c r="O22" s="34">
        <f t="shared" si="0"/>
        <v>217665</v>
      </c>
    </row>
    <row r="23" spans="1:15" ht="13.2" x14ac:dyDescent="0.25">
      <c r="A23" s="9" t="s">
        <v>36</v>
      </c>
      <c r="B23" s="5" t="s">
        <v>17</v>
      </c>
      <c r="C23" s="7">
        <v>2000</v>
      </c>
      <c r="D23" s="8"/>
      <c r="E23" s="7"/>
      <c r="F23" s="8"/>
      <c r="G23" s="7"/>
      <c r="H23" s="8">
        <v>500</v>
      </c>
      <c r="I23" s="7"/>
      <c r="J23" s="8"/>
      <c r="K23" s="7"/>
      <c r="L23" s="8"/>
      <c r="M23" s="7"/>
      <c r="N23" s="8"/>
      <c r="O23" s="34">
        <f t="shared" si="0"/>
        <v>2500</v>
      </c>
    </row>
    <row r="24" spans="1:15" ht="13.2" x14ac:dyDescent="0.25">
      <c r="A24" s="9" t="s">
        <v>37</v>
      </c>
      <c r="B24" s="5" t="s">
        <v>56</v>
      </c>
      <c r="C24" s="7">
        <v>57430</v>
      </c>
      <c r="D24" s="8">
        <f>66730-C24</f>
        <v>9300</v>
      </c>
      <c r="E24" s="7">
        <f>80185-66730</f>
        <v>13455</v>
      </c>
      <c r="F24" s="8">
        <f>97127-80185</f>
        <v>16942</v>
      </c>
      <c r="G24" s="7">
        <v>43500</v>
      </c>
      <c r="H24" s="8">
        <f>9250+900</f>
        <v>10150</v>
      </c>
      <c r="I24" s="7">
        <v>115275</v>
      </c>
      <c r="J24" s="8">
        <v>12000</v>
      </c>
      <c r="K24" s="7">
        <v>81925</v>
      </c>
      <c r="L24" s="8"/>
      <c r="M24" s="7">
        <v>22000</v>
      </c>
      <c r="N24" s="8">
        <v>4500</v>
      </c>
      <c r="O24" s="34">
        <f t="shared" si="0"/>
        <v>386477</v>
      </c>
    </row>
    <row r="25" spans="1:15" ht="13.2" x14ac:dyDescent="0.25">
      <c r="A25" s="9" t="s">
        <v>38</v>
      </c>
      <c r="B25" s="5" t="s">
        <v>82</v>
      </c>
      <c r="C25" s="7"/>
      <c r="D25" s="8"/>
      <c r="E25" s="7"/>
      <c r="F25" s="8"/>
      <c r="G25" s="7"/>
      <c r="H25" s="8">
        <v>4410</v>
      </c>
      <c r="I25" s="7"/>
      <c r="J25" s="8"/>
      <c r="K25" s="7"/>
      <c r="L25" s="8">
        <v>2700</v>
      </c>
      <c r="M25" s="7"/>
      <c r="N25" s="8"/>
      <c r="O25" s="34">
        <f t="shared" si="0"/>
        <v>7110</v>
      </c>
    </row>
    <row r="26" spans="1:15" ht="13.2" x14ac:dyDescent="0.25">
      <c r="A26" s="9" t="s">
        <v>39</v>
      </c>
      <c r="B26" s="5" t="s">
        <v>81</v>
      </c>
      <c r="C26" s="7">
        <v>24900</v>
      </c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34">
        <f t="shared" si="0"/>
        <v>24900</v>
      </c>
    </row>
    <row r="27" spans="1:15" ht="13.2" x14ac:dyDescent="0.25">
      <c r="A27" s="9" t="s">
        <v>40</v>
      </c>
      <c r="B27" s="5" t="s">
        <v>84</v>
      </c>
      <c r="C27" s="7"/>
      <c r="D27" s="8"/>
      <c r="E27" s="7"/>
      <c r="F27" s="8"/>
      <c r="G27" s="7"/>
      <c r="H27" s="8"/>
      <c r="I27" s="7"/>
      <c r="J27" s="8"/>
      <c r="K27" s="7"/>
      <c r="L27" s="8"/>
      <c r="M27" s="7">
        <v>26200</v>
      </c>
      <c r="N27" s="8"/>
      <c r="O27" s="34">
        <f t="shared" si="0"/>
        <v>26200</v>
      </c>
    </row>
    <row r="28" spans="1:15" ht="13.2" x14ac:dyDescent="0.25">
      <c r="A28" s="9" t="s">
        <v>41</v>
      </c>
      <c r="B28" s="5" t="s">
        <v>76</v>
      </c>
      <c r="C28" s="7"/>
      <c r="D28" s="8"/>
      <c r="E28" s="7"/>
      <c r="F28" s="8"/>
      <c r="G28" s="7"/>
      <c r="H28" s="8">
        <v>2000</v>
      </c>
      <c r="I28" s="7">
        <v>1800</v>
      </c>
      <c r="J28" s="8">
        <v>1600</v>
      </c>
      <c r="K28" s="7">
        <v>121000</v>
      </c>
      <c r="L28" s="8">
        <v>500</v>
      </c>
      <c r="M28" s="7"/>
      <c r="N28" s="8"/>
      <c r="O28" s="34">
        <f t="shared" si="0"/>
        <v>126900</v>
      </c>
    </row>
    <row r="29" spans="1:15" ht="13.2" x14ac:dyDescent="0.25">
      <c r="A29" s="9" t="s">
        <v>42</v>
      </c>
      <c r="B29" s="5" t="s">
        <v>21</v>
      </c>
      <c r="C29" s="7">
        <v>4935</v>
      </c>
      <c r="D29" s="8"/>
      <c r="E29" s="7"/>
      <c r="F29" s="8"/>
      <c r="G29" s="7"/>
      <c r="H29" s="8"/>
      <c r="I29" s="7"/>
      <c r="J29" s="8"/>
      <c r="K29" s="7">
        <v>28840</v>
      </c>
      <c r="L29" s="8"/>
      <c r="M29" s="7">
        <f>8365+2380</f>
        <v>10745</v>
      </c>
      <c r="N29" s="8">
        <v>9415</v>
      </c>
      <c r="O29" s="34">
        <f t="shared" si="0"/>
        <v>53935</v>
      </c>
    </row>
    <row r="30" spans="1:15" ht="13.2" x14ac:dyDescent="0.25">
      <c r="A30" s="9" t="s">
        <v>43</v>
      </c>
      <c r="B30" s="5" t="s">
        <v>60</v>
      </c>
      <c r="C30" s="7">
        <v>187500</v>
      </c>
      <c r="D30" s="8"/>
      <c r="E30" s="7"/>
      <c r="F30" s="8"/>
      <c r="G30" s="7"/>
      <c r="H30" s="8"/>
      <c r="I30" s="7"/>
      <c r="J30" s="8"/>
      <c r="K30" s="7"/>
      <c r="L30" s="8">
        <v>187500</v>
      </c>
      <c r="M30" s="7"/>
      <c r="N30" s="8"/>
      <c r="O30" s="34">
        <f t="shared" si="0"/>
        <v>375000</v>
      </c>
    </row>
    <row r="31" spans="1:15" ht="13.2" x14ac:dyDescent="0.25">
      <c r="A31" s="9" t="s">
        <v>44</v>
      </c>
      <c r="B31" s="5" t="s">
        <v>47</v>
      </c>
      <c r="C31" s="7"/>
      <c r="D31" s="8"/>
      <c r="E31" s="7"/>
      <c r="F31" s="8"/>
      <c r="G31" s="7"/>
      <c r="H31" s="8">
        <v>12000</v>
      </c>
      <c r="I31" s="7"/>
      <c r="J31" s="8"/>
      <c r="K31" s="7"/>
      <c r="L31" s="8"/>
      <c r="M31" s="7"/>
      <c r="N31" s="8"/>
      <c r="O31" s="34">
        <f t="shared" si="0"/>
        <v>12000</v>
      </c>
    </row>
    <row r="32" spans="1:15" ht="13.2" x14ac:dyDescent="0.25">
      <c r="A32" s="9" t="s">
        <v>45</v>
      </c>
      <c r="B32" s="5" t="s">
        <v>55</v>
      </c>
      <c r="C32" s="7"/>
      <c r="D32" s="8"/>
      <c r="E32" s="7"/>
      <c r="F32" s="8"/>
      <c r="G32" s="7"/>
      <c r="H32" s="8"/>
      <c r="I32" s="7"/>
      <c r="J32" s="8"/>
      <c r="K32" s="7"/>
      <c r="L32" s="8"/>
      <c r="M32" s="7"/>
      <c r="N32" s="8"/>
      <c r="O32" s="34">
        <f t="shared" si="0"/>
        <v>0</v>
      </c>
    </row>
    <row r="33" spans="1:15" ht="13.2" x14ac:dyDescent="0.25">
      <c r="A33" s="9" t="s">
        <v>54</v>
      </c>
      <c r="B33" s="5" t="s">
        <v>59</v>
      </c>
      <c r="C33" s="7">
        <v>93803</v>
      </c>
      <c r="D33" s="8">
        <f>421721-C33</f>
        <v>327918</v>
      </c>
      <c r="E33" s="7">
        <f>466917-395721</f>
        <v>71196</v>
      </c>
      <c r="F33" s="8">
        <f>539967-466917</f>
        <v>73050</v>
      </c>
      <c r="G33" s="7">
        <f>43500+560658-539967</f>
        <v>64191</v>
      </c>
      <c r="H33" s="8">
        <f>602496-560658</f>
        <v>41838</v>
      </c>
      <c r="I33" s="7">
        <f>609797-602496</f>
        <v>7301</v>
      </c>
      <c r="J33" s="8">
        <f>644203-609797</f>
        <v>34406</v>
      </c>
      <c r="K33" s="7">
        <f>714130-644203</f>
        <v>69927</v>
      </c>
      <c r="L33" s="8">
        <v>9700</v>
      </c>
      <c r="M33" s="7">
        <f>770487.5-719630</f>
        <v>50857.5</v>
      </c>
      <c r="N33" s="8">
        <f>815884.5-770487.5</f>
        <v>45397</v>
      </c>
      <c r="O33" s="34">
        <f t="shared" si="0"/>
        <v>889584.5</v>
      </c>
    </row>
    <row r="34" spans="1:15" ht="13.2" x14ac:dyDescent="0.25">
      <c r="A34" s="4"/>
      <c r="B34" s="10" t="s">
        <v>23</v>
      </c>
      <c r="C34" s="30">
        <f t="shared" ref="C34:F34" si="1">SUM(C16:C33)</f>
        <v>1074225.6099999999</v>
      </c>
      <c r="D34" s="40">
        <f t="shared" si="1"/>
        <v>853935.23</v>
      </c>
      <c r="E34" s="31">
        <f t="shared" si="1"/>
        <v>680618</v>
      </c>
      <c r="F34" s="40">
        <f t="shared" si="1"/>
        <v>519124.44999999995</v>
      </c>
      <c r="G34" s="31">
        <f>SUM(G16:G33)</f>
        <v>1543306.82</v>
      </c>
      <c r="H34" s="40">
        <f>SUM(H16:H33)</f>
        <v>1220471.0700000003</v>
      </c>
      <c r="I34" s="31">
        <f>SUM(I14:I33)</f>
        <v>1064793.31</v>
      </c>
      <c r="J34" s="31">
        <f>SUM(J14:J33)</f>
        <v>1135606.8199999998</v>
      </c>
      <c r="K34" s="31">
        <f t="shared" ref="K34:N34" si="2">SUM(K14:K33)</f>
        <v>768939.05</v>
      </c>
      <c r="L34" s="31">
        <f t="shared" si="2"/>
        <v>1131504.8900000001</v>
      </c>
      <c r="M34" s="31">
        <f t="shared" si="2"/>
        <v>675989.14</v>
      </c>
      <c r="N34" s="31">
        <f t="shared" si="2"/>
        <v>808791.71999999986</v>
      </c>
      <c r="O34" s="41">
        <f>SUM(O14:O33)</f>
        <v>11477306.109999999</v>
      </c>
    </row>
    <row r="35" spans="1:15" ht="13.2" x14ac:dyDescent="0.25">
      <c r="A35" s="3" t="s">
        <v>24</v>
      </c>
      <c r="B35" s="11"/>
      <c r="C35" s="12"/>
      <c r="D35" s="12"/>
      <c r="E35" s="12"/>
      <c r="F35" s="12"/>
      <c r="G35" s="12" t="s">
        <v>57</v>
      </c>
      <c r="H35" s="12"/>
      <c r="I35" s="23"/>
      <c r="J35" s="23"/>
      <c r="K35" s="23"/>
      <c r="L35" s="23"/>
      <c r="M35" s="23"/>
      <c r="N35" s="23"/>
      <c r="O35" s="29"/>
    </row>
    <row r="36" spans="1:15" ht="13.2" x14ac:dyDescent="0.25">
      <c r="A36" s="4"/>
      <c r="B36" s="2"/>
      <c r="C36" s="7"/>
      <c r="D36" s="7"/>
      <c r="E36" s="7"/>
      <c r="F36" s="7"/>
      <c r="G36" s="7"/>
      <c r="H36" s="7"/>
      <c r="I36" s="7"/>
      <c r="J36" s="7"/>
      <c r="K36" s="7"/>
      <c r="O36" s="26"/>
    </row>
    <row r="37" spans="1:15" ht="13.2" x14ac:dyDescent="0.25">
      <c r="A37" s="6"/>
      <c r="B37" s="14"/>
      <c r="C37" s="7"/>
      <c r="D37" s="7"/>
      <c r="E37" s="7"/>
      <c r="F37" s="7"/>
      <c r="G37" s="7"/>
      <c r="H37" s="15"/>
      <c r="I37" s="15"/>
      <c r="J37" s="15"/>
      <c r="K37" s="7"/>
      <c r="O37" s="26"/>
    </row>
    <row r="38" spans="1:15" ht="13.2" x14ac:dyDescent="0.25">
      <c r="A38" s="98" t="s">
        <v>64</v>
      </c>
      <c r="B38" s="99"/>
      <c r="C38" s="7"/>
      <c r="D38" s="7"/>
      <c r="E38" s="7"/>
      <c r="F38" s="7"/>
      <c r="G38" s="7"/>
      <c r="H38" s="53" t="s">
        <v>65</v>
      </c>
      <c r="I38" s="53"/>
      <c r="J38" s="53"/>
      <c r="K38" s="7"/>
      <c r="O38" s="26"/>
    </row>
    <row r="39" spans="1:15" ht="13.2" x14ac:dyDescent="0.25">
      <c r="A39" s="98" t="s">
        <v>25</v>
      </c>
      <c r="B39" s="99"/>
      <c r="C39" s="7"/>
      <c r="D39" s="7"/>
      <c r="E39" s="7"/>
      <c r="F39" s="7"/>
      <c r="G39" s="7"/>
      <c r="H39" s="52" t="s">
        <v>58</v>
      </c>
      <c r="I39" s="52"/>
      <c r="J39" s="52"/>
      <c r="K39" s="7"/>
      <c r="O39" s="26"/>
    </row>
    <row r="40" spans="1:15" ht="13.2" x14ac:dyDescent="0.25">
      <c r="A40" s="96" t="s">
        <v>26</v>
      </c>
      <c r="B40" s="97"/>
      <c r="C40" s="15"/>
      <c r="D40" s="15"/>
      <c r="E40" s="15"/>
      <c r="F40" s="15"/>
      <c r="G40" s="15"/>
      <c r="H40" s="15" t="s">
        <v>26</v>
      </c>
      <c r="I40" s="15"/>
      <c r="J40" s="15"/>
      <c r="K40" s="15"/>
      <c r="L40" s="27"/>
      <c r="M40" s="27"/>
      <c r="N40" s="27"/>
      <c r="O40" s="28"/>
    </row>
    <row r="41" spans="1:15" x14ac:dyDescent="0.25">
      <c r="C41" s="1"/>
      <c r="D41" s="1"/>
      <c r="E41" s="1"/>
      <c r="F41" s="1"/>
      <c r="G41" s="1"/>
      <c r="H41" s="1"/>
      <c r="I41" s="1"/>
      <c r="J41" s="1"/>
      <c r="K41" s="1"/>
    </row>
  </sheetData>
  <mergeCells count="6">
    <mergeCell ref="A40:B40"/>
    <mergeCell ref="A3:O3"/>
    <mergeCell ref="A4:O4"/>
    <mergeCell ref="A5:O5"/>
    <mergeCell ref="A38:B38"/>
    <mergeCell ref="A39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53" sqref="C53"/>
    </sheetView>
  </sheetViews>
  <sheetFormatPr defaultRowHeight="12.6" x14ac:dyDescent="0.25"/>
  <cols>
    <col min="1" max="1" width="3.109375" customWidth="1"/>
    <col min="2" max="2" width="39" customWidth="1"/>
    <col min="3" max="14" width="12.6640625" customWidth="1"/>
    <col min="15" max="15" width="13.88671875" customWidth="1"/>
  </cols>
  <sheetData>
    <row r="1" spans="1:15" x14ac:dyDescent="0.25">
      <c r="C1" s="1"/>
      <c r="D1" s="1"/>
      <c r="E1" s="1"/>
      <c r="F1" s="1"/>
      <c r="G1" s="1"/>
      <c r="H1" s="1"/>
      <c r="I1" s="1"/>
      <c r="J1" s="1"/>
      <c r="K1" s="1"/>
    </row>
    <row r="3" spans="1:15" ht="13.2" x14ac:dyDescent="0.25">
      <c r="A3" s="92" t="s">
        <v>80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2" x14ac:dyDescent="0.25">
      <c r="A4" s="92" t="s">
        <v>88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3.2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3.2" x14ac:dyDescent="0.25">
      <c r="A6" s="2" t="s">
        <v>3</v>
      </c>
      <c r="B6" s="2"/>
      <c r="C6" s="2" t="s">
        <v>7</v>
      </c>
      <c r="D6" s="2"/>
      <c r="E6" s="2"/>
      <c r="F6" s="2"/>
      <c r="G6" s="2"/>
      <c r="H6" s="2"/>
      <c r="I6" s="2"/>
      <c r="J6" s="2"/>
      <c r="K6" s="2"/>
    </row>
    <row r="7" spans="1:15" ht="13.2" x14ac:dyDescent="0.25">
      <c r="A7" s="2" t="s">
        <v>4</v>
      </c>
      <c r="B7" s="2"/>
      <c r="C7" s="2" t="s">
        <v>6</v>
      </c>
      <c r="D7" s="2"/>
      <c r="E7" s="2"/>
      <c r="F7" s="2"/>
      <c r="G7" s="2"/>
      <c r="H7" s="2"/>
      <c r="I7" s="2"/>
      <c r="J7" s="2"/>
      <c r="K7" s="2"/>
    </row>
    <row r="8" spans="1:15" ht="13.2" x14ac:dyDescent="0.25">
      <c r="A8" s="2" t="s">
        <v>5</v>
      </c>
      <c r="B8" s="2"/>
      <c r="C8" s="16" t="s">
        <v>63</v>
      </c>
      <c r="D8" s="2"/>
      <c r="E8" s="2"/>
      <c r="F8" s="2"/>
      <c r="G8" s="2"/>
      <c r="H8" s="2"/>
      <c r="I8" s="2"/>
      <c r="J8" s="2"/>
      <c r="K8" s="2"/>
    </row>
    <row r="9" spans="1:15" ht="13.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ht="13.2" x14ac:dyDescent="0.25">
      <c r="A10" s="37" t="s">
        <v>8</v>
      </c>
      <c r="B10" s="38"/>
      <c r="C10" s="54" t="s">
        <v>48</v>
      </c>
      <c r="D10" s="22" t="s">
        <v>49</v>
      </c>
      <c r="E10" s="55" t="s">
        <v>50</v>
      </c>
      <c r="F10" s="22" t="s">
        <v>51</v>
      </c>
      <c r="G10" s="55" t="s">
        <v>52</v>
      </c>
      <c r="H10" s="22" t="s">
        <v>53</v>
      </c>
      <c r="I10" s="54" t="s">
        <v>66</v>
      </c>
      <c r="J10" s="22" t="s">
        <v>67</v>
      </c>
      <c r="K10" s="54" t="s">
        <v>68</v>
      </c>
      <c r="L10" s="22" t="s">
        <v>69</v>
      </c>
      <c r="M10" s="54" t="s">
        <v>70</v>
      </c>
      <c r="N10" s="54" t="s">
        <v>71</v>
      </c>
      <c r="O10" s="33" t="s">
        <v>23</v>
      </c>
    </row>
    <row r="11" spans="1:15" ht="13.2" x14ac:dyDescent="0.25">
      <c r="A11" s="3" t="s">
        <v>9</v>
      </c>
      <c r="B11" s="5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42"/>
      <c r="O11" s="34"/>
    </row>
    <row r="12" spans="1:15" ht="13.2" x14ac:dyDescent="0.25">
      <c r="A12" s="4"/>
      <c r="B12" s="5"/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42"/>
      <c r="O12" s="34"/>
    </row>
    <row r="13" spans="1:15" ht="13.2" x14ac:dyDescent="0.25">
      <c r="A13" s="4" t="s">
        <v>10</v>
      </c>
      <c r="B13" s="5"/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42"/>
      <c r="O13" s="34"/>
    </row>
    <row r="14" spans="1:15" ht="13.2" x14ac:dyDescent="0.25">
      <c r="A14" s="4"/>
      <c r="B14" s="5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42"/>
      <c r="O14" s="34"/>
    </row>
    <row r="15" spans="1:15" ht="13.2" x14ac:dyDescent="0.25">
      <c r="A15" s="4" t="s">
        <v>11</v>
      </c>
      <c r="B15" s="5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42"/>
      <c r="O15" s="34"/>
    </row>
    <row r="16" spans="1:15" ht="13.2" x14ac:dyDescent="0.25">
      <c r="A16" s="9" t="s">
        <v>29</v>
      </c>
      <c r="B16" s="5" t="s">
        <v>12</v>
      </c>
      <c r="C16" s="7">
        <v>69711.06</v>
      </c>
      <c r="D16" s="8"/>
      <c r="E16" s="7">
        <f>269707.07-103039.91</f>
        <v>166667.16</v>
      </c>
      <c r="F16" s="8">
        <f>43858.48+12617.96</f>
        <v>56476.44</v>
      </c>
      <c r="G16" s="7">
        <f>456473.54-326183.51</f>
        <v>130290.02999999997</v>
      </c>
      <c r="H16" s="8">
        <f>787958.58-456473.54</f>
        <v>331485.03999999998</v>
      </c>
      <c r="I16" s="7">
        <f>889590.67-787958.58</f>
        <v>101632.09000000008</v>
      </c>
      <c r="J16" s="8">
        <f>948336.72-889590.67</f>
        <v>58746.04999999993</v>
      </c>
      <c r="K16" s="7">
        <f>1144685.97-948336.72</f>
        <v>196349.25</v>
      </c>
      <c r="L16" s="8">
        <f>1412106.61-1144685.97</f>
        <v>267420.64000000013</v>
      </c>
      <c r="M16" s="7">
        <f>1481755.34-1412106.61</f>
        <v>69648.729999999981</v>
      </c>
      <c r="N16" s="42">
        <v>87361.45</v>
      </c>
      <c r="O16" s="34">
        <f>SUM(C16:N16)</f>
        <v>1535787.9400000002</v>
      </c>
    </row>
    <row r="17" spans="1:15" ht="13.2" x14ac:dyDescent="0.25">
      <c r="A17" s="9" t="s">
        <v>30</v>
      </c>
      <c r="B17" s="5" t="s">
        <v>13</v>
      </c>
      <c r="C17" s="7">
        <v>350505</v>
      </c>
      <c r="D17" s="8">
        <f>952562-C17</f>
        <v>602057</v>
      </c>
      <c r="E17" s="7">
        <f>1605804-1221482</f>
        <v>384322</v>
      </c>
      <c r="F17" s="8">
        <f>1844311-1605804</f>
        <v>238507</v>
      </c>
      <c r="G17" s="7">
        <f>2255481-1844311</f>
        <v>411170</v>
      </c>
      <c r="H17" s="8">
        <f>2296665.2-2255481</f>
        <v>41184.200000000186</v>
      </c>
      <c r="I17" s="7">
        <f>364-19.8</f>
        <v>344.2</v>
      </c>
      <c r="J17" s="8"/>
      <c r="K17" s="7">
        <v>7400</v>
      </c>
      <c r="L17" s="8"/>
      <c r="M17" s="7"/>
      <c r="N17" s="42"/>
      <c r="O17" s="34">
        <f t="shared" ref="O17:O33" si="0">SUM(C17:N17)</f>
        <v>2035489.4000000001</v>
      </c>
    </row>
    <row r="18" spans="1:15" ht="13.2" x14ac:dyDescent="0.25">
      <c r="A18" s="9" t="s">
        <v>31</v>
      </c>
      <c r="B18" s="5" t="s">
        <v>83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42"/>
      <c r="O18" s="34">
        <f t="shared" si="0"/>
        <v>0</v>
      </c>
    </row>
    <row r="19" spans="1:15" ht="13.2" x14ac:dyDescent="0.25">
      <c r="A19" s="9" t="s">
        <v>32</v>
      </c>
      <c r="B19" s="5" t="s">
        <v>15</v>
      </c>
      <c r="C19" s="7">
        <v>21000</v>
      </c>
      <c r="D19" s="8">
        <f>46500-C19</f>
        <v>25500</v>
      </c>
      <c r="E19" s="7">
        <f>130800-45000-500</f>
        <v>85300</v>
      </c>
      <c r="F19" s="8"/>
      <c r="G19" s="7">
        <f>969050-127800</f>
        <v>841250</v>
      </c>
      <c r="H19" s="8">
        <f>983550-969050</f>
        <v>14500</v>
      </c>
      <c r="I19" s="7">
        <f>1011050-986050-1500</f>
        <v>23500</v>
      </c>
      <c r="J19" s="8"/>
      <c r="K19" s="7"/>
      <c r="L19" s="8"/>
      <c r="M19" s="7"/>
      <c r="N19" s="42"/>
      <c r="O19" s="34">
        <f t="shared" si="0"/>
        <v>1011050</v>
      </c>
    </row>
    <row r="20" spans="1:15" ht="13.2" x14ac:dyDescent="0.25">
      <c r="A20" s="9" t="s">
        <v>33</v>
      </c>
      <c r="B20" s="5" t="s">
        <v>16</v>
      </c>
      <c r="C20" s="7">
        <v>11000</v>
      </c>
      <c r="D20" s="8">
        <v>2250</v>
      </c>
      <c r="E20" s="7">
        <v>10700</v>
      </c>
      <c r="F20" s="8">
        <v>6160</v>
      </c>
      <c r="G20" s="7">
        <v>16455</v>
      </c>
      <c r="H20" s="8">
        <v>49565</v>
      </c>
      <c r="I20" s="7">
        <v>2750</v>
      </c>
      <c r="J20" s="8">
        <v>1500</v>
      </c>
      <c r="K20" s="7">
        <v>56170</v>
      </c>
      <c r="L20" s="8">
        <v>39935</v>
      </c>
      <c r="M20" s="7">
        <v>11210</v>
      </c>
      <c r="N20" s="42">
        <v>4500</v>
      </c>
      <c r="O20" s="34">
        <f t="shared" si="0"/>
        <v>212195</v>
      </c>
    </row>
    <row r="21" spans="1:15" ht="13.2" x14ac:dyDescent="0.25">
      <c r="A21" s="9" t="s">
        <v>34</v>
      </c>
      <c r="B21" s="5" t="s">
        <v>27</v>
      </c>
      <c r="C21" s="7">
        <v>171500</v>
      </c>
      <c r="D21" s="8"/>
      <c r="E21" s="7"/>
      <c r="F21" s="8"/>
      <c r="G21" s="7"/>
      <c r="H21" s="8">
        <f>903000-C21</f>
        <v>731500</v>
      </c>
      <c r="I21" s="7">
        <f>1050000-903000</f>
        <v>147000</v>
      </c>
      <c r="J21" s="8"/>
      <c r="K21" s="7"/>
      <c r="L21" s="8"/>
      <c r="M21" s="7"/>
      <c r="N21" s="42"/>
      <c r="O21" s="34">
        <f t="shared" si="0"/>
        <v>1050000</v>
      </c>
    </row>
    <row r="22" spans="1:15" ht="13.2" x14ac:dyDescent="0.25">
      <c r="A22" s="9" t="s">
        <v>35</v>
      </c>
      <c r="B22" s="5" t="s">
        <v>28</v>
      </c>
      <c r="C22" s="7">
        <v>22120</v>
      </c>
      <c r="D22" s="8">
        <f>42070-C22</f>
        <v>19950</v>
      </c>
      <c r="E22" s="7"/>
      <c r="F22" s="8">
        <f>21815+475</f>
        <v>22290</v>
      </c>
      <c r="G22" s="7">
        <v>17340.5</v>
      </c>
      <c r="H22" s="8">
        <f>27340.5</f>
        <v>27340.5</v>
      </c>
      <c r="I22" s="7">
        <v>41059</v>
      </c>
      <c r="J22" s="8">
        <f>25900+11200</f>
        <v>37100</v>
      </c>
      <c r="K22" s="7"/>
      <c r="L22" s="8">
        <v>42089</v>
      </c>
      <c r="M22" s="7">
        <v>17130</v>
      </c>
      <c r="N22" s="42">
        <v>17050</v>
      </c>
      <c r="O22" s="34">
        <f t="shared" si="0"/>
        <v>263469</v>
      </c>
    </row>
    <row r="23" spans="1:15" ht="13.2" x14ac:dyDescent="0.25">
      <c r="A23" s="9" t="s">
        <v>36</v>
      </c>
      <c r="B23" s="5" t="s">
        <v>17</v>
      </c>
      <c r="C23" s="7">
        <v>3584</v>
      </c>
      <c r="D23" s="8"/>
      <c r="E23" s="7"/>
      <c r="F23" s="8"/>
      <c r="G23" s="7">
        <v>15000</v>
      </c>
      <c r="H23" s="8"/>
      <c r="I23" s="7"/>
      <c r="J23" s="8"/>
      <c r="K23" s="7"/>
      <c r="L23" s="8"/>
      <c r="M23" s="7"/>
      <c r="N23" s="42"/>
      <c r="O23" s="34">
        <f t="shared" si="0"/>
        <v>18584</v>
      </c>
    </row>
    <row r="24" spans="1:15" ht="13.2" x14ac:dyDescent="0.25">
      <c r="A24" s="9" t="s">
        <v>37</v>
      </c>
      <c r="B24" s="5" t="s">
        <v>56</v>
      </c>
      <c r="C24" s="7">
        <v>58891.25</v>
      </c>
      <c r="D24" s="8">
        <f>72916.25-C24</f>
        <v>14025</v>
      </c>
      <c r="E24" s="7">
        <f>203746.25-72916.25</f>
        <v>130830</v>
      </c>
      <c r="F24" s="8">
        <f>239671.25-203746.25</f>
        <v>35925</v>
      </c>
      <c r="G24" s="7">
        <f>36790+5800</f>
        <v>42590</v>
      </c>
      <c r="H24" s="8">
        <v>2650</v>
      </c>
      <c r="I24" s="7">
        <v>3000</v>
      </c>
      <c r="J24" s="8">
        <v>3080</v>
      </c>
      <c r="K24" s="7">
        <f>382584.25-290991.25</f>
        <v>91593</v>
      </c>
      <c r="L24" s="8">
        <v>13000</v>
      </c>
      <c r="M24" s="7">
        <v>1250</v>
      </c>
      <c r="N24" s="42">
        <v>2450</v>
      </c>
      <c r="O24" s="34">
        <f t="shared" si="0"/>
        <v>399284.25</v>
      </c>
    </row>
    <row r="25" spans="1:15" ht="13.2" x14ac:dyDescent="0.25">
      <c r="A25" s="9" t="s">
        <v>38</v>
      </c>
      <c r="B25" s="5" t="s">
        <v>82</v>
      </c>
      <c r="C25" s="7"/>
      <c r="D25" s="8"/>
      <c r="E25" s="7"/>
      <c r="F25" s="8">
        <v>1000</v>
      </c>
      <c r="G25" s="7"/>
      <c r="H25" s="8">
        <v>295380.25</v>
      </c>
      <c r="I25" s="7"/>
      <c r="J25" s="8"/>
      <c r="K25" s="7"/>
      <c r="L25" s="8"/>
      <c r="M25" s="7"/>
      <c r="N25" s="42"/>
      <c r="O25" s="34">
        <f t="shared" si="0"/>
        <v>296380.25</v>
      </c>
    </row>
    <row r="26" spans="1:15" ht="13.2" x14ac:dyDescent="0.25">
      <c r="A26" s="9" t="s">
        <v>39</v>
      </c>
      <c r="B26" s="5" t="s">
        <v>81</v>
      </c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42"/>
      <c r="O26" s="34">
        <f t="shared" si="0"/>
        <v>0</v>
      </c>
    </row>
    <row r="27" spans="1:15" ht="13.2" x14ac:dyDescent="0.25">
      <c r="A27" s="9" t="s">
        <v>40</v>
      </c>
      <c r="B27" s="5" t="s">
        <v>84</v>
      </c>
      <c r="C27" s="7"/>
      <c r="D27" s="8"/>
      <c r="E27" s="7"/>
      <c r="F27" s="8"/>
      <c r="G27" s="7"/>
      <c r="H27" s="8"/>
      <c r="I27" s="7"/>
      <c r="J27" s="8">
        <v>17250</v>
      </c>
      <c r="K27" s="7">
        <v>37450</v>
      </c>
      <c r="L27" s="8"/>
      <c r="M27" s="7"/>
      <c r="N27" s="42">
        <v>34242</v>
      </c>
      <c r="O27" s="34">
        <f t="shared" si="0"/>
        <v>88942</v>
      </c>
    </row>
    <row r="28" spans="1:15" ht="13.2" x14ac:dyDescent="0.25">
      <c r="A28" s="9" t="s">
        <v>41</v>
      </c>
      <c r="B28" s="5" t="s">
        <v>76</v>
      </c>
      <c r="C28" s="7"/>
      <c r="D28" s="8"/>
      <c r="E28" s="7">
        <v>108700</v>
      </c>
      <c r="F28" s="8">
        <f>132650-E28</f>
        <v>23950</v>
      </c>
      <c r="G28" s="7"/>
      <c r="H28" s="8"/>
      <c r="I28" s="7">
        <v>5000</v>
      </c>
      <c r="J28" s="8"/>
      <c r="K28" s="7"/>
      <c r="L28" s="8"/>
      <c r="M28" s="7"/>
      <c r="N28" s="42"/>
      <c r="O28" s="34">
        <f t="shared" si="0"/>
        <v>137650</v>
      </c>
    </row>
    <row r="29" spans="1:15" ht="13.2" x14ac:dyDescent="0.25">
      <c r="A29" s="9" t="s">
        <v>42</v>
      </c>
      <c r="B29" s="5" t="s">
        <v>21</v>
      </c>
      <c r="C29" s="7">
        <v>2740</v>
      </c>
      <c r="D29" s="8"/>
      <c r="E29" s="7"/>
      <c r="F29" s="8">
        <v>12000</v>
      </c>
      <c r="G29" s="7"/>
      <c r="H29" s="8"/>
      <c r="I29" s="7"/>
      <c r="J29" s="8"/>
      <c r="K29" s="7"/>
      <c r="L29" s="8">
        <v>8040</v>
      </c>
      <c r="M29" s="7">
        <f>5800+1900</f>
        <v>7700</v>
      </c>
      <c r="N29" s="42">
        <v>5560</v>
      </c>
      <c r="O29" s="34">
        <f t="shared" si="0"/>
        <v>36040</v>
      </c>
    </row>
    <row r="30" spans="1:15" ht="13.2" x14ac:dyDescent="0.25">
      <c r="A30" s="9" t="s">
        <v>43</v>
      </c>
      <c r="B30" s="5" t="s">
        <v>60</v>
      </c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42"/>
      <c r="O30" s="34">
        <f t="shared" si="0"/>
        <v>0</v>
      </c>
    </row>
    <row r="31" spans="1:15" ht="13.2" x14ac:dyDescent="0.25">
      <c r="A31" s="9" t="s">
        <v>44</v>
      </c>
      <c r="B31" s="5" t="s">
        <v>47</v>
      </c>
      <c r="C31" s="7"/>
      <c r="D31" s="8">
        <v>11700</v>
      </c>
      <c r="E31" s="7">
        <f>21700-D31</f>
        <v>10000</v>
      </c>
      <c r="F31" s="8">
        <f>51700-19100</f>
        <v>32600</v>
      </c>
      <c r="G31" s="7">
        <f>2200+1700</f>
        <v>3900</v>
      </c>
      <c r="H31" s="8">
        <f>60100-55600</f>
        <v>4500</v>
      </c>
      <c r="I31" s="7">
        <f>3200-2300</f>
        <v>900</v>
      </c>
      <c r="J31" s="8">
        <v>4200</v>
      </c>
      <c r="K31" s="7">
        <v>3800</v>
      </c>
      <c r="L31" s="8">
        <v>8800</v>
      </c>
      <c r="M31" s="7"/>
      <c r="N31" s="42"/>
      <c r="O31" s="34">
        <f t="shared" si="0"/>
        <v>80400</v>
      </c>
    </row>
    <row r="32" spans="1:15" ht="13.2" x14ac:dyDescent="0.25">
      <c r="A32" s="9" t="s">
        <v>45</v>
      </c>
      <c r="B32" s="5" t="s">
        <v>55</v>
      </c>
      <c r="C32" s="7"/>
      <c r="D32" s="8"/>
      <c r="E32" s="7"/>
      <c r="F32" s="8"/>
      <c r="G32" s="7"/>
      <c r="H32" s="8"/>
      <c r="I32" s="7"/>
      <c r="J32" s="8"/>
      <c r="K32" s="7"/>
      <c r="L32" s="8"/>
      <c r="M32" s="7"/>
      <c r="N32" s="42"/>
      <c r="O32" s="34">
        <f t="shared" si="0"/>
        <v>0</v>
      </c>
    </row>
    <row r="33" spans="1:15" ht="13.2" x14ac:dyDescent="0.25">
      <c r="A33" s="9" t="s">
        <v>54</v>
      </c>
      <c r="B33" s="5" t="s">
        <v>59</v>
      </c>
      <c r="C33" s="7">
        <v>71870</v>
      </c>
      <c r="D33" s="8">
        <f>119826-C33</f>
        <v>47956</v>
      </c>
      <c r="E33" s="7">
        <f>191050-C33-D33</f>
        <v>71224</v>
      </c>
      <c r="F33" s="8">
        <f>222032-191050</f>
        <v>30982</v>
      </c>
      <c r="G33" s="7">
        <f>12213+6970</f>
        <v>19183</v>
      </c>
      <c r="H33" s="8">
        <f>267366-241215</f>
        <v>26151</v>
      </c>
      <c r="I33" s="7">
        <f>287227-267366</f>
        <v>19861</v>
      </c>
      <c r="J33" s="8">
        <f>314328-290247</f>
        <v>24081</v>
      </c>
      <c r="K33" s="7">
        <f>338472.5-314328</f>
        <v>24144.5</v>
      </c>
      <c r="L33" s="8">
        <f>373494.5-338472.5</f>
        <v>35022</v>
      </c>
      <c r="M33" s="7">
        <f>402632.5-373494.5</f>
        <v>29138</v>
      </c>
      <c r="N33" s="42">
        <f>415446.5-402632.5</f>
        <v>12814</v>
      </c>
      <c r="O33" s="34">
        <f t="shared" si="0"/>
        <v>412426.5</v>
      </c>
    </row>
    <row r="34" spans="1:15" ht="13.2" x14ac:dyDescent="0.25">
      <c r="A34" s="4"/>
      <c r="B34" s="10" t="s">
        <v>23</v>
      </c>
      <c r="C34" s="30">
        <f t="shared" ref="C34:F34" si="1">SUM(C16:C33)</f>
        <v>782921.31</v>
      </c>
      <c r="D34" s="40">
        <f t="shared" si="1"/>
        <v>723438</v>
      </c>
      <c r="E34" s="31">
        <f t="shared" si="1"/>
        <v>967743.16</v>
      </c>
      <c r="F34" s="40">
        <f t="shared" si="1"/>
        <v>459890.44</v>
      </c>
      <c r="G34" s="31">
        <f>SUM(G16:G33)</f>
        <v>1497178.53</v>
      </c>
      <c r="H34" s="40">
        <f>SUM(H16:H33)</f>
        <v>1524255.9900000002</v>
      </c>
      <c r="I34" s="31">
        <f>SUM(I14:I33)</f>
        <v>345046.2900000001</v>
      </c>
      <c r="J34" s="31">
        <f>SUM(J14:J33)</f>
        <v>145957.04999999993</v>
      </c>
      <c r="K34" s="31">
        <f t="shared" ref="K34:N34" si="2">SUM(K14:K33)</f>
        <v>416906.75</v>
      </c>
      <c r="L34" s="31">
        <f t="shared" si="2"/>
        <v>414306.64000000013</v>
      </c>
      <c r="M34" s="31">
        <f t="shared" si="2"/>
        <v>136076.72999999998</v>
      </c>
      <c r="N34" s="31">
        <f t="shared" si="2"/>
        <v>163977.45000000001</v>
      </c>
      <c r="O34" s="40">
        <f>SUM(O14:O33)</f>
        <v>7577698.3399999999</v>
      </c>
    </row>
    <row r="35" spans="1:15" ht="13.2" x14ac:dyDescent="0.25">
      <c r="A35" s="3" t="s">
        <v>24</v>
      </c>
      <c r="B35" s="11"/>
      <c r="C35" s="12"/>
      <c r="D35" s="12"/>
      <c r="E35" s="12"/>
      <c r="F35" s="12"/>
      <c r="G35" s="12" t="s">
        <v>57</v>
      </c>
      <c r="H35" s="12"/>
      <c r="I35" s="12"/>
      <c r="J35" s="12"/>
      <c r="K35" s="12"/>
      <c r="L35" s="24"/>
      <c r="M35" s="24"/>
      <c r="N35" s="24"/>
      <c r="O35" s="25"/>
    </row>
    <row r="36" spans="1:15" ht="13.2" x14ac:dyDescent="0.25">
      <c r="A36" s="4"/>
      <c r="B36" s="2"/>
      <c r="C36" s="7"/>
      <c r="D36" s="7"/>
      <c r="E36" s="7"/>
      <c r="F36" s="7"/>
      <c r="G36" s="7"/>
      <c r="H36" s="7"/>
      <c r="I36" s="7"/>
      <c r="J36" s="7"/>
      <c r="K36" s="7"/>
      <c r="O36" s="26"/>
    </row>
    <row r="37" spans="1:15" ht="13.2" x14ac:dyDescent="0.25">
      <c r="A37" s="6"/>
      <c r="B37" s="14"/>
      <c r="C37" s="7"/>
      <c r="D37" s="7"/>
      <c r="E37" s="7"/>
      <c r="F37" s="7"/>
      <c r="G37" s="7"/>
      <c r="H37" s="15"/>
      <c r="I37" s="15"/>
      <c r="J37" s="15"/>
      <c r="K37" s="7"/>
      <c r="O37" s="26"/>
    </row>
    <row r="38" spans="1:15" ht="13.2" x14ac:dyDescent="0.25">
      <c r="A38" s="98" t="s">
        <v>64</v>
      </c>
      <c r="B38" s="99"/>
      <c r="C38" s="7"/>
      <c r="D38" s="7"/>
      <c r="E38" s="7"/>
      <c r="F38" s="7"/>
      <c r="G38" s="7"/>
      <c r="H38" s="90" t="s">
        <v>65</v>
      </c>
      <c r="I38" s="90"/>
      <c r="J38" s="90"/>
      <c r="K38" s="7"/>
      <c r="O38" s="26"/>
    </row>
    <row r="39" spans="1:15" ht="13.2" x14ac:dyDescent="0.25">
      <c r="A39" s="100" t="s">
        <v>25</v>
      </c>
      <c r="B39" s="101"/>
      <c r="C39" s="15"/>
      <c r="D39" s="15"/>
      <c r="E39" s="15"/>
      <c r="F39" s="15"/>
      <c r="G39" s="15"/>
      <c r="H39" s="102" t="s">
        <v>58</v>
      </c>
      <c r="I39" s="102"/>
      <c r="J39" s="102"/>
      <c r="K39" s="15"/>
      <c r="L39" s="27"/>
      <c r="M39" s="27"/>
      <c r="N39" s="27"/>
      <c r="O39" s="28"/>
    </row>
    <row r="40" spans="1:15" ht="13.2" x14ac:dyDescent="0.25">
      <c r="A40" s="96" t="s">
        <v>26</v>
      </c>
      <c r="B40" s="97"/>
      <c r="C40" s="15"/>
      <c r="D40" s="15"/>
      <c r="E40" s="15"/>
      <c r="F40" s="15"/>
      <c r="G40" s="15"/>
      <c r="H40" s="15" t="s">
        <v>26</v>
      </c>
      <c r="I40" s="15"/>
      <c r="J40" s="15"/>
      <c r="K40" s="7"/>
    </row>
    <row r="41" spans="1:15" x14ac:dyDescent="0.25">
      <c r="C41" s="1"/>
      <c r="D41" s="1"/>
      <c r="E41" s="1"/>
      <c r="F41" s="1"/>
      <c r="G41" s="1"/>
      <c r="H41" s="1"/>
      <c r="I41" s="1"/>
      <c r="J41" s="1"/>
      <c r="K41" s="1"/>
    </row>
  </sheetData>
  <mergeCells count="8">
    <mergeCell ref="A39:B39"/>
    <mergeCell ref="H39:J39"/>
    <mergeCell ref="A40:B40"/>
    <mergeCell ref="A3:O3"/>
    <mergeCell ref="A4:O4"/>
    <mergeCell ref="A5:O5"/>
    <mergeCell ref="A38:B38"/>
    <mergeCell ref="H38:J3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4"/>
  <sheetViews>
    <sheetView tabSelected="1" topLeftCell="A10" workbookViewId="0">
      <selection activeCell="B19" sqref="B19"/>
    </sheetView>
  </sheetViews>
  <sheetFormatPr defaultRowHeight="12.6" x14ac:dyDescent="0.25"/>
  <cols>
    <col min="1" max="1" width="3" customWidth="1"/>
    <col min="2" max="2" width="58.109375" customWidth="1"/>
    <col min="3" max="15" width="14.33203125" customWidth="1"/>
  </cols>
  <sheetData>
    <row r="2" spans="1:15" ht="13.2" x14ac:dyDescent="0.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3.2" x14ac:dyDescent="0.25">
      <c r="A3" s="92" t="s">
        <v>98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2" x14ac:dyDescent="0.25">
      <c r="A4" s="92" t="s">
        <v>106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3.2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3.2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6"/>
      <c r="M6" s="56"/>
      <c r="N6" s="56"/>
      <c r="O6" s="51"/>
    </row>
    <row r="7" spans="1:15" ht="13.2" x14ac:dyDescent="0.25">
      <c r="A7" s="2" t="s">
        <v>3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13.2" x14ac:dyDescent="0.25">
      <c r="A8" s="2" t="s">
        <v>4</v>
      </c>
      <c r="B8" s="2"/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13.2" x14ac:dyDescent="0.25">
      <c r="A9" s="2" t="s">
        <v>5</v>
      </c>
      <c r="B9" s="2"/>
      <c r="C9" s="16" t="s">
        <v>63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ht="13.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ht="13.2" x14ac:dyDescent="0.25">
      <c r="A11" s="37"/>
      <c r="B11" s="44"/>
      <c r="C11" s="93" t="s">
        <v>101</v>
      </c>
      <c r="D11" s="94"/>
      <c r="E11" s="95"/>
      <c r="F11" s="93" t="s">
        <v>102</v>
      </c>
      <c r="G11" s="94"/>
      <c r="H11" s="95"/>
      <c r="I11" s="93" t="s">
        <v>103</v>
      </c>
      <c r="J11" s="94"/>
      <c r="K11" s="95"/>
      <c r="L11" s="94" t="s">
        <v>105</v>
      </c>
      <c r="M11" s="94"/>
      <c r="N11" s="95"/>
      <c r="O11" s="65"/>
    </row>
    <row r="12" spans="1:15" ht="13.2" x14ac:dyDescent="0.25">
      <c r="A12" s="37" t="s">
        <v>8</v>
      </c>
      <c r="B12" s="38"/>
      <c r="C12" s="58" t="s">
        <v>48</v>
      </c>
      <c r="D12" s="59" t="s">
        <v>49</v>
      </c>
      <c r="E12" s="60" t="s">
        <v>50</v>
      </c>
      <c r="F12" s="59" t="s">
        <v>51</v>
      </c>
      <c r="G12" s="60" t="s">
        <v>52</v>
      </c>
      <c r="H12" s="59" t="s">
        <v>53</v>
      </c>
      <c r="I12" s="58" t="s">
        <v>66</v>
      </c>
      <c r="J12" s="59" t="s">
        <v>67</v>
      </c>
      <c r="K12" s="59" t="s">
        <v>68</v>
      </c>
      <c r="L12" s="80" t="s">
        <v>69</v>
      </c>
      <c r="M12" s="60" t="s">
        <v>70</v>
      </c>
      <c r="N12" s="59" t="s">
        <v>71</v>
      </c>
      <c r="O12" s="61" t="s">
        <v>23</v>
      </c>
    </row>
    <row r="13" spans="1:15" ht="13.2" x14ac:dyDescent="0.25">
      <c r="A13" s="3" t="s">
        <v>9</v>
      </c>
      <c r="B13" s="5"/>
      <c r="C13" s="62"/>
      <c r="D13" s="63"/>
      <c r="E13" s="62"/>
      <c r="F13" s="63"/>
      <c r="G13" s="62"/>
      <c r="H13" s="63"/>
      <c r="I13" s="84"/>
      <c r="J13" s="63"/>
      <c r="K13" s="82"/>
      <c r="L13" s="81"/>
      <c r="M13" s="62"/>
      <c r="N13" s="63"/>
      <c r="O13" s="64"/>
    </row>
    <row r="14" spans="1:15" ht="13.2" x14ac:dyDescent="0.25">
      <c r="A14" s="4"/>
      <c r="B14" s="5"/>
      <c r="C14" s="62"/>
      <c r="D14" s="63"/>
      <c r="E14" s="62"/>
      <c r="F14" s="63"/>
      <c r="G14" s="62"/>
      <c r="H14" s="63"/>
      <c r="I14" s="84"/>
      <c r="J14" s="63"/>
      <c r="K14" s="82"/>
      <c r="L14" s="82"/>
      <c r="M14" s="62"/>
      <c r="N14" s="63"/>
      <c r="O14" s="64"/>
    </row>
    <row r="15" spans="1:15" ht="13.2" x14ac:dyDescent="0.25">
      <c r="A15" s="4" t="s">
        <v>10</v>
      </c>
      <c r="B15" s="5"/>
      <c r="C15" s="62"/>
      <c r="D15" s="63"/>
      <c r="E15" s="62"/>
      <c r="F15" s="63"/>
      <c r="G15" s="62"/>
      <c r="H15" s="63"/>
      <c r="I15" s="84"/>
      <c r="J15" s="63"/>
      <c r="K15" s="82"/>
      <c r="L15" s="82"/>
      <c r="M15" s="62"/>
      <c r="N15" s="63"/>
      <c r="O15" s="64"/>
    </row>
    <row r="16" spans="1:15" ht="13.2" x14ac:dyDescent="0.25">
      <c r="A16" s="4"/>
      <c r="B16" s="5"/>
      <c r="C16" s="62"/>
      <c r="D16" s="63"/>
      <c r="E16" s="62"/>
      <c r="F16" s="63"/>
      <c r="G16" s="62"/>
      <c r="H16" s="63"/>
      <c r="I16" s="84"/>
      <c r="J16" s="63"/>
      <c r="K16" s="82"/>
      <c r="L16" s="82"/>
      <c r="M16" s="62"/>
      <c r="N16" s="63"/>
      <c r="O16" s="64"/>
    </row>
    <row r="17" spans="1:15" ht="13.2" x14ac:dyDescent="0.25">
      <c r="A17" s="4" t="s">
        <v>11</v>
      </c>
      <c r="B17" s="5"/>
      <c r="C17" s="62"/>
      <c r="D17" s="63"/>
      <c r="E17" s="62"/>
      <c r="F17" s="63"/>
      <c r="G17" s="62"/>
      <c r="H17" s="63"/>
      <c r="I17" s="84"/>
      <c r="J17" s="63"/>
      <c r="K17" s="82"/>
      <c r="L17" s="82"/>
      <c r="M17" s="62"/>
      <c r="N17" s="63"/>
      <c r="O17" s="64"/>
    </row>
    <row r="18" spans="1:15" ht="13.2" x14ac:dyDescent="0.25">
      <c r="A18" s="9" t="s">
        <v>29</v>
      </c>
      <c r="B18" s="57" t="s">
        <v>12</v>
      </c>
      <c r="C18" s="62">
        <v>62976.23</v>
      </c>
      <c r="D18" s="63">
        <v>70680.789999999994</v>
      </c>
      <c r="E18" s="62">
        <v>79118.100000000006</v>
      </c>
      <c r="F18" s="63">
        <v>355044.55</v>
      </c>
      <c r="G18" s="62">
        <v>82631.850000000006</v>
      </c>
      <c r="H18" s="63">
        <v>68178.5</v>
      </c>
      <c r="I18" s="84">
        <v>100212.01</v>
      </c>
      <c r="J18" s="63">
        <v>98507.15</v>
      </c>
      <c r="K18" s="82">
        <v>151513.9</v>
      </c>
      <c r="L18" s="82" t="e">
        <f>#REF!+#REF!</f>
        <v>#REF!</v>
      </c>
      <c r="M18" s="62" t="e">
        <f>#REF!+#REF!</f>
        <v>#REF!</v>
      </c>
      <c r="N18" s="63" t="e">
        <f>#REF!+#REF!</f>
        <v>#REF!</v>
      </c>
      <c r="O18" s="64" t="e">
        <f>SUM(C18:N18)</f>
        <v>#REF!</v>
      </c>
    </row>
    <row r="19" spans="1:15" ht="13.2" x14ac:dyDescent="0.25">
      <c r="A19" s="9" t="s">
        <v>30</v>
      </c>
      <c r="B19" s="57" t="s">
        <v>92</v>
      </c>
      <c r="C19" s="62">
        <v>1375</v>
      </c>
      <c r="D19" s="63">
        <v>34150</v>
      </c>
      <c r="E19" s="62">
        <v>134715</v>
      </c>
      <c r="F19" s="63">
        <v>40135</v>
      </c>
      <c r="G19" s="62">
        <v>30315</v>
      </c>
      <c r="H19" s="63">
        <v>16645</v>
      </c>
      <c r="I19" s="84">
        <v>0</v>
      </c>
      <c r="J19" s="63">
        <v>5235</v>
      </c>
      <c r="K19" s="82">
        <v>3090</v>
      </c>
      <c r="L19" s="82" t="e">
        <f>#REF!+#REF!</f>
        <v>#REF!</v>
      </c>
      <c r="M19" s="62" t="e">
        <f>#REF!+#REF!</f>
        <v>#REF!</v>
      </c>
      <c r="N19" s="63" t="e">
        <f>#REF!+#REF!</f>
        <v>#REF!</v>
      </c>
      <c r="O19" s="64" t="e">
        <f t="shared" ref="O19:O29" si="0">SUM(C19:N19)</f>
        <v>#REF!</v>
      </c>
    </row>
    <row r="20" spans="1:15" ht="13.2" x14ac:dyDescent="0.25">
      <c r="A20" s="9" t="s">
        <v>31</v>
      </c>
      <c r="B20" s="57" t="s">
        <v>93</v>
      </c>
      <c r="C20" s="62">
        <v>49335</v>
      </c>
      <c r="D20" s="63">
        <v>23180</v>
      </c>
      <c r="E20" s="62">
        <v>26999</v>
      </c>
      <c r="F20" s="63">
        <v>20745</v>
      </c>
      <c r="G20" s="62">
        <v>17290</v>
      </c>
      <c r="H20" s="63">
        <v>24730</v>
      </c>
      <c r="I20" s="84">
        <v>57485</v>
      </c>
      <c r="J20" s="63">
        <v>42890</v>
      </c>
      <c r="K20" s="82">
        <v>0</v>
      </c>
      <c r="L20" s="82" t="e">
        <f>#REF!+#REF!</f>
        <v>#REF!</v>
      </c>
      <c r="M20" s="62" t="e">
        <f>#REF!+#REF!</f>
        <v>#REF!</v>
      </c>
      <c r="N20" s="63" t="e">
        <f>#REF!+#REF!</f>
        <v>#REF!</v>
      </c>
      <c r="O20" s="64" t="e">
        <f t="shared" si="0"/>
        <v>#REF!</v>
      </c>
    </row>
    <row r="21" spans="1:15" ht="13.2" x14ac:dyDescent="0.25">
      <c r="A21" s="9" t="s">
        <v>32</v>
      </c>
      <c r="B21" s="57" t="s">
        <v>99</v>
      </c>
      <c r="C21" s="62">
        <v>4460</v>
      </c>
      <c r="D21" s="63">
        <v>12782</v>
      </c>
      <c r="E21" s="62">
        <v>19375</v>
      </c>
      <c r="F21" s="63">
        <v>63600</v>
      </c>
      <c r="G21" s="62">
        <v>9600</v>
      </c>
      <c r="H21" s="63">
        <v>29800</v>
      </c>
      <c r="I21" s="84">
        <v>9400</v>
      </c>
      <c r="J21" s="63">
        <v>3500</v>
      </c>
      <c r="K21" s="82">
        <v>151513.9</v>
      </c>
      <c r="L21" s="82" t="e">
        <f>#REF!+#REF!</f>
        <v>#REF!</v>
      </c>
      <c r="M21" s="62" t="e">
        <f>#REF!+#REF!</f>
        <v>#REF!</v>
      </c>
      <c r="N21" s="63" t="e">
        <f>#REF!+#REF!</f>
        <v>#REF!</v>
      </c>
      <c r="O21" s="64" t="e">
        <f t="shared" si="0"/>
        <v>#REF!</v>
      </c>
    </row>
    <row r="22" spans="1:15" ht="13.2" x14ac:dyDescent="0.25">
      <c r="A22" s="9" t="s">
        <v>33</v>
      </c>
      <c r="B22" s="57" t="s">
        <v>84</v>
      </c>
      <c r="C22" s="62">
        <v>0</v>
      </c>
      <c r="D22" s="63">
        <v>0</v>
      </c>
      <c r="E22" s="62">
        <v>0</v>
      </c>
      <c r="F22" s="63">
        <v>0</v>
      </c>
      <c r="G22" s="62">
        <v>0</v>
      </c>
      <c r="H22" s="63">
        <v>17500</v>
      </c>
      <c r="I22" s="84">
        <v>8050</v>
      </c>
      <c r="J22" s="63">
        <v>0</v>
      </c>
      <c r="K22" s="82">
        <v>0</v>
      </c>
      <c r="L22" s="82" t="e">
        <f>#REF!+#REF!</f>
        <v>#REF!</v>
      </c>
      <c r="M22" s="62" t="e">
        <f>#REF!+#REF!</f>
        <v>#REF!</v>
      </c>
      <c r="N22" s="63" t="e">
        <f>#REF!+#REF!</f>
        <v>#REF!</v>
      </c>
      <c r="O22" s="64" t="e">
        <f t="shared" si="0"/>
        <v>#REF!</v>
      </c>
    </row>
    <row r="23" spans="1:15" ht="13.2" x14ac:dyDescent="0.25">
      <c r="A23" s="9" t="s">
        <v>34</v>
      </c>
      <c r="B23" s="57" t="s">
        <v>94</v>
      </c>
      <c r="C23" s="62">
        <v>640</v>
      </c>
      <c r="D23" s="63">
        <v>0</v>
      </c>
      <c r="E23" s="62">
        <v>0</v>
      </c>
      <c r="F23" s="63">
        <v>0</v>
      </c>
      <c r="G23" s="62">
        <v>0</v>
      </c>
      <c r="H23" s="63">
        <v>0</v>
      </c>
      <c r="I23" s="84">
        <v>0</v>
      </c>
      <c r="J23" s="63">
        <v>0</v>
      </c>
      <c r="K23" s="82">
        <v>2200</v>
      </c>
      <c r="L23" s="82" t="e">
        <f>#REF!+#REF!</f>
        <v>#REF!</v>
      </c>
      <c r="M23" s="62" t="e">
        <f>#REF!+#REF!</f>
        <v>#REF!</v>
      </c>
      <c r="N23" s="63" t="e">
        <f>#REF!+#REF!</f>
        <v>#REF!</v>
      </c>
      <c r="O23" s="64" t="e">
        <f t="shared" si="0"/>
        <v>#REF!</v>
      </c>
    </row>
    <row r="24" spans="1:15" ht="13.2" x14ac:dyDescent="0.25">
      <c r="A24" s="9" t="s">
        <v>35</v>
      </c>
      <c r="B24" s="57" t="s">
        <v>91</v>
      </c>
      <c r="C24" s="62">
        <v>0</v>
      </c>
      <c r="D24" s="63">
        <v>4300</v>
      </c>
      <c r="E24" s="62">
        <v>4300</v>
      </c>
      <c r="F24" s="63">
        <v>1200</v>
      </c>
      <c r="G24" s="62">
        <v>0</v>
      </c>
      <c r="H24" s="63">
        <v>4000</v>
      </c>
      <c r="I24" s="84">
        <v>4487.63</v>
      </c>
      <c r="J24" s="63">
        <v>0</v>
      </c>
      <c r="K24" s="82">
        <v>0</v>
      </c>
      <c r="L24" s="82" t="e">
        <f>#REF!+#REF!</f>
        <v>#REF!</v>
      </c>
      <c r="M24" s="62" t="e">
        <f>#REF!+#REF!</f>
        <v>#REF!</v>
      </c>
      <c r="N24" s="63" t="e">
        <f>#REF!+#REF!</f>
        <v>#REF!</v>
      </c>
      <c r="O24" s="64" t="e">
        <f t="shared" si="0"/>
        <v>#REF!</v>
      </c>
    </row>
    <row r="25" spans="1:15" ht="13.2" x14ac:dyDescent="0.25">
      <c r="A25" s="9" t="s">
        <v>36</v>
      </c>
      <c r="B25" s="57" t="s">
        <v>100</v>
      </c>
      <c r="C25" s="62">
        <v>40382</v>
      </c>
      <c r="D25" s="63">
        <v>157349.54</v>
      </c>
      <c r="E25" s="62">
        <v>85969</v>
      </c>
      <c r="F25" s="63">
        <v>81613</v>
      </c>
      <c r="G25" s="62">
        <v>47684</v>
      </c>
      <c r="H25" s="63">
        <v>82055.5</v>
      </c>
      <c r="I25" s="84">
        <v>43461.05</v>
      </c>
      <c r="J25" s="63">
        <v>42858</v>
      </c>
      <c r="K25" s="82">
        <v>52300</v>
      </c>
      <c r="L25" s="82" t="e">
        <f>#REF!+#REF!</f>
        <v>#REF!</v>
      </c>
      <c r="M25" s="62" t="e">
        <f>#REF!+#REF!</f>
        <v>#REF!</v>
      </c>
      <c r="N25" s="63" t="e">
        <f>#REF!+#REF!</f>
        <v>#REF!</v>
      </c>
      <c r="O25" s="64" t="e">
        <f t="shared" si="0"/>
        <v>#REF!</v>
      </c>
    </row>
    <row r="26" spans="1:15" ht="13.2" x14ac:dyDescent="0.25">
      <c r="A26" s="9" t="s">
        <v>37</v>
      </c>
      <c r="B26" s="57" t="s">
        <v>95</v>
      </c>
      <c r="C26" s="62">
        <v>0</v>
      </c>
      <c r="D26" s="63">
        <v>0</v>
      </c>
      <c r="E26" s="62">
        <v>0</v>
      </c>
      <c r="F26" s="63">
        <v>0</v>
      </c>
      <c r="G26" s="62">
        <v>0</v>
      </c>
      <c r="H26" s="63">
        <v>0</v>
      </c>
      <c r="I26" s="84">
        <v>1650</v>
      </c>
      <c r="J26" s="63">
        <v>0</v>
      </c>
      <c r="K26" s="82">
        <v>0</v>
      </c>
      <c r="L26" s="82" t="e">
        <f>#REF!+#REF!</f>
        <v>#REF!</v>
      </c>
      <c r="M26" s="62" t="e">
        <f>#REF!+#REF!</f>
        <v>#REF!</v>
      </c>
      <c r="N26" s="63" t="e">
        <f>#REF!+#REF!</f>
        <v>#REF!</v>
      </c>
      <c r="O26" s="64" t="e">
        <f t="shared" si="0"/>
        <v>#REF!</v>
      </c>
    </row>
    <row r="27" spans="1:15" ht="13.2" x14ac:dyDescent="0.25">
      <c r="A27" s="9" t="s">
        <v>38</v>
      </c>
      <c r="B27" s="57" t="s">
        <v>96</v>
      </c>
      <c r="C27" s="62">
        <v>0</v>
      </c>
      <c r="D27" s="63">
        <v>0</v>
      </c>
      <c r="E27" s="62">
        <v>9500</v>
      </c>
      <c r="F27" s="63">
        <v>0</v>
      </c>
      <c r="G27" s="62">
        <v>26100</v>
      </c>
      <c r="H27" s="63">
        <v>0</v>
      </c>
      <c r="I27" s="84">
        <v>0</v>
      </c>
      <c r="J27" s="63">
        <v>0</v>
      </c>
      <c r="K27" s="82">
        <v>0</v>
      </c>
      <c r="L27" s="82" t="e">
        <f>#REF!+#REF!</f>
        <v>#REF!</v>
      </c>
      <c r="M27" s="62" t="e">
        <f>#REF!+#REF!</f>
        <v>#REF!</v>
      </c>
      <c r="N27" s="63" t="e">
        <f>#REF!+#REF!</f>
        <v>#REF!</v>
      </c>
      <c r="O27" s="64" t="e">
        <f t="shared" si="0"/>
        <v>#REF!</v>
      </c>
    </row>
    <row r="28" spans="1:15" ht="13.2" x14ac:dyDescent="0.25">
      <c r="A28" s="9" t="s">
        <v>39</v>
      </c>
      <c r="B28" s="57" t="s">
        <v>104</v>
      </c>
      <c r="C28" s="62">
        <v>0</v>
      </c>
      <c r="D28" s="63">
        <v>0</v>
      </c>
      <c r="E28" s="62">
        <v>0</v>
      </c>
      <c r="F28" s="63">
        <v>0</v>
      </c>
      <c r="G28" s="62">
        <v>0</v>
      </c>
      <c r="H28" s="63">
        <v>0</v>
      </c>
      <c r="I28" s="84">
        <v>0</v>
      </c>
      <c r="J28" s="63">
        <v>0</v>
      </c>
      <c r="K28" s="82">
        <v>0</v>
      </c>
      <c r="L28" s="82" t="e">
        <f>#REF!+#REF!</f>
        <v>#REF!</v>
      </c>
      <c r="M28" s="62" t="e">
        <f>#REF!+#REF!</f>
        <v>#REF!</v>
      </c>
      <c r="N28" s="63" t="e">
        <f>#REF!+#REF!</f>
        <v>#REF!</v>
      </c>
      <c r="O28" s="64" t="e">
        <f t="shared" si="0"/>
        <v>#REF!</v>
      </c>
    </row>
    <row r="29" spans="1:15" ht="13.2" x14ac:dyDescent="0.25">
      <c r="A29" s="9" t="s">
        <v>40</v>
      </c>
      <c r="B29" s="57" t="s">
        <v>73</v>
      </c>
      <c r="C29" s="62">
        <v>181060.85</v>
      </c>
      <c r="D29" s="63">
        <v>0</v>
      </c>
      <c r="E29" s="62">
        <v>0</v>
      </c>
      <c r="F29" s="63">
        <v>0</v>
      </c>
      <c r="G29" s="62">
        <v>0</v>
      </c>
      <c r="H29" s="63">
        <v>0</v>
      </c>
      <c r="I29" s="84">
        <v>0</v>
      </c>
      <c r="J29" s="63">
        <v>0</v>
      </c>
      <c r="K29" s="82">
        <v>0</v>
      </c>
      <c r="L29" s="82" t="e">
        <f>#REF!+#REF!</f>
        <v>#REF!</v>
      </c>
      <c r="M29" s="62" t="e">
        <f>#REF!+#REF!</f>
        <v>#REF!</v>
      </c>
      <c r="N29" s="63" t="e">
        <f>#REF!+#REF!</f>
        <v>#REF!</v>
      </c>
      <c r="O29" s="64" t="e">
        <f t="shared" si="0"/>
        <v>#REF!</v>
      </c>
    </row>
    <row r="30" spans="1:15" ht="13.2" x14ac:dyDescent="0.25">
      <c r="A30" s="46"/>
      <c r="B30" s="50"/>
      <c r="C30" s="62"/>
      <c r="D30" s="63"/>
      <c r="E30" s="62"/>
      <c r="F30" s="63"/>
      <c r="G30" s="62"/>
      <c r="H30" s="63"/>
      <c r="I30" s="84"/>
      <c r="J30" s="63"/>
      <c r="K30" s="82"/>
      <c r="L30" s="83"/>
      <c r="M30" s="62"/>
      <c r="N30" s="63"/>
      <c r="O30" s="64">
        <f t="shared" ref="O30" si="1">SUM(C30:K30)</f>
        <v>0</v>
      </c>
    </row>
    <row r="31" spans="1:15" ht="13.8" thickBot="1" x14ac:dyDescent="0.3">
      <c r="A31" s="4"/>
      <c r="B31" s="10" t="s">
        <v>23</v>
      </c>
      <c r="C31" s="67">
        <f t="shared" ref="C31:H31" si="2">SUM(C18:C30)</f>
        <v>340229.08</v>
      </c>
      <c r="D31" s="68">
        <f t="shared" si="2"/>
        <v>302442.32999999996</v>
      </c>
      <c r="E31" s="69">
        <f t="shared" si="2"/>
        <v>359976.1</v>
      </c>
      <c r="F31" s="68">
        <f t="shared" si="2"/>
        <v>562337.55000000005</v>
      </c>
      <c r="G31" s="69">
        <f t="shared" si="2"/>
        <v>213620.85</v>
      </c>
      <c r="H31" s="68">
        <f t="shared" si="2"/>
        <v>242909</v>
      </c>
      <c r="I31" s="85">
        <f>SUM(I16:I30)</f>
        <v>224745.69</v>
      </c>
      <c r="J31" s="86">
        <f>SUM(J16:J30)</f>
        <v>192990.15</v>
      </c>
      <c r="K31" s="87">
        <f>SUM(K16:K30)</f>
        <v>360617.8</v>
      </c>
      <c r="L31" s="69" t="e">
        <f t="shared" ref="L31:M31" si="3">SUM(L16:L30)</f>
        <v>#REF!</v>
      </c>
      <c r="M31" s="69" t="e">
        <f t="shared" si="3"/>
        <v>#REF!</v>
      </c>
      <c r="N31" s="69" t="e">
        <f>SUM(N16:N30)</f>
        <v>#REF!</v>
      </c>
      <c r="O31" s="68" t="e">
        <f>SUM(O16:O30)</f>
        <v>#REF!</v>
      </c>
    </row>
    <row r="32" spans="1:15" ht="13.8" thickTop="1" x14ac:dyDescent="0.25">
      <c r="A32" s="4"/>
      <c r="B32" s="16"/>
      <c r="C32" s="6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35"/>
    </row>
    <row r="33" spans="1:15" ht="13.2" x14ac:dyDescent="0.25">
      <c r="A33" s="3" t="s">
        <v>24</v>
      </c>
      <c r="B33" s="11"/>
      <c r="C33" s="12"/>
      <c r="D33" s="12"/>
      <c r="E33" s="12"/>
      <c r="F33" s="12"/>
      <c r="G33" s="12"/>
      <c r="H33" s="12"/>
      <c r="I33" s="12"/>
      <c r="J33" s="12"/>
      <c r="K33" s="12" t="s">
        <v>57</v>
      </c>
      <c r="L33" s="12"/>
      <c r="M33" s="12"/>
      <c r="N33" s="12"/>
      <c r="O33" s="25"/>
    </row>
    <row r="34" spans="1:15" ht="13.2" x14ac:dyDescent="0.25">
      <c r="A34" s="4"/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6"/>
    </row>
    <row r="35" spans="1:15" ht="13.2" x14ac:dyDescent="0.25">
      <c r="A35" s="6"/>
      <c r="B35" s="14"/>
      <c r="C35" s="7"/>
      <c r="D35" s="7"/>
      <c r="E35" s="7"/>
      <c r="F35" s="7"/>
      <c r="G35" s="7"/>
      <c r="H35" s="7"/>
      <c r="I35" s="7"/>
      <c r="J35" s="7"/>
      <c r="K35" s="7"/>
      <c r="L35" s="15"/>
      <c r="M35" s="15"/>
      <c r="N35" s="15"/>
      <c r="O35" s="26"/>
    </row>
    <row r="36" spans="1:15" ht="13.2" x14ac:dyDescent="0.25">
      <c r="A36" s="98" t="s">
        <v>64</v>
      </c>
      <c r="B36" s="99"/>
      <c r="C36" s="7"/>
      <c r="D36" s="7"/>
      <c r="E36" s="7"/>
      <c r="F36" s="7"/>
      <c r="G36" s="7"/>
      <c r="H36" s="91"/>
      <c r="I36" s="91"/>
      <c r="J36" s="91"/>
      <c r="K36" s="7"/>
      <c r="L36" s="90" t="s">
        <v>65</v>
      </c>
      <c r="M36" s="90"/>
      <c r="N36" s="90"/>
      <c r="O36" s="26"/>
    </row>
    <row r="37" spans="1:15" ht="13.2" x14ac:dyDescent="0.25">
      <c r="A37" s="100" t="s">
        <v>25</v>
      </c>
      <c r="B37" s="101"/>
      <c r="C37" s="15"/>
      <c r="D37" s="15"/>
      <c r="E37" s="15"/>
      <c r="F37" s="15"/>
      <c r="G37" s="15"/>
      <c r="H37" s="102"/>
      <c r="I37" s="102"/>
      <c r="J37" s="102"/>
      <c r="K37" s="15"/>
      <c r="L37" s="102" t="s">
        <v>58</v>
      </c>
      <c r="M37" s="102"/>
      <c r="N37" s="102"/>
      <c r="O37" s="28"/>
    </row>
    <row r="38" spans="1:15" ht="13.2" x14ac:dyDescent="0.25">
      <c r="A38" s="96" t="s">
        <v>26</v>
      </c>
      <c r="B38" s="97"/>
      <c r="C38" s="15"/>
      <c r="D38" s="15"/>
      <c r="E38" s="15"/>
      <c r="F38" s="15"/>
      <c r="G38" s="15"/>
      <c r="H38" s="15" t="s">
        <v>26</v>
      </c>
      <c r="I38" s="15"/>
      <c r="J38" s="15"/>
      <c r="K38" s="15"/>
      <c r="L38" s="15"/>
      <c r="M38" s="15"/>
      <c r="N38" s="15"/>
      <c r="O38" s="28"/>
    </row>
    <row r="39" spans="1:15" ht="13.2" x14ac:dyDescent="0.25">
      <c r="A39" s="92" t="s">
        <v>80</v>
      </c>
      <c r="B39" s="92"/>
      <c r="C39" s="92"/>
      <c r="D39" s="92"/>
      <c r="E39" s="92"/>
      <c r="F39" s="92"/>
      <c r="G39" s="92"/>
      <c r="H39" s="7"/>
      <c r="I39" s="7"/>
      <c r="J39" s="7"/>
      <c r="K39" s="7"/>
      <c r="L39" s="7"/>
      <c r="M39" s="7"/>
      <c r="N39" s="7"/>
    </row>
    <row r="40" spans="1:15" ht="13.2" x14ac:dyDescent="0.25">
      <c r="A40" s="92" t="s">
        <v>107</v>
      </c>
      <c r="B40" s="92"/>
      <c r="C40" s="92"/>
      <c r="D40" s="92"/>
      <c r="E40" s="92"/>
      <c r="F40" s="92"/>
      <c r="G40" s="92"/>
      <c r="H40" s="7"/>
      <c r="I40" s="7"/>
      <c r="J40" s="7"/>
      <c r="K40" s="7"/>
      <c r="L40" s="7"/>
      <c r="M40" s="7"/>
      <c r="N40" s="7"/>
    </row>
    <row r="41" spans="1:15" ht="13.2" x14ac:dyDescent="0.25">
      <c r="A41" s="92" t="s">
        <v>111</v>
      </c>
      <c r="B41" s="92"/>
      <c r="C41" s="92"/>
      <c r="D41" s="92"/>
      <c r="E41" s="92"/>
      <c r="F41" s="92"/>
      <c r="G41" s="92"/>
      <c r="H41" s="7"/>
      <c r="I41" s="7"/>
      <c r="J41" s="7"/>
      <c r="K41" s="7"/>
      <c r="L41" s="7"/>
      <c r="M41" s="7"/>
      <c r="N41" s="7"/>
    </row>
    <row r="42" spans="1:15" ht="13.2" x14ac:dyDescent="0.25">
      <c r="A42" s="92" t="s">
        <v>2</v>
      </c>
      <c r="B42" s="92"/>
      <c r="C42" s="92"/>
      <c r="D42" s="92"/>
      <c r="E42" s="92"/>
      <c r="F42" s="92"/>
      <c r="G42" s="92"/>
      <c r="H42" s="7"/>
      <c r="I42" s="7"/>
      <c r="J42" s="7"/>
      <c r="K42" s="7"/>
      <c r="L42" s="7"/>
      <c r="M42" s="7"/>
      <c r="N42" s="7"/>
    </row>
    <row r="43" spans="1:15" ht="13.2" x14ac:dyDescent="0.25">
      <c r="H43" s="7"/>
      <c r="I43" s="7"/>
      <c r="J43" s="7"/>
      <c r="K43" s="7"/>
      <c r="L43" s="7"/>
      <c r="M43" s="7"/>
      <c r="N43" s="7"/>
    </row>
    <row r="44" spans="1:15" ht="13.2" x14ac:dyDescent="0.25">
      <c r="A44" s="2" t="s">
        <v>3</v>
      </c>
      <c r="B44" s="2"/>
      <c r="H44" s="7"/>
      <c r="I44" s="7"/>
      <c r="J44" s="7"/>
      <c r="K44" s="7"/>
      <c r="L44" s="7"/>
      <c r="M44" s="7"/>
      <c r="N44" s="7"/>
    </row>
    <row r="45" spans="1:15" ht="13.2" x14ac:dyDescent="0.25">
      <c r="A45" s="2" t="s">
        <v>4</v>
      </c>
      <c r="B45" s="2"/>
      <c r="H45" s="7"/>
      <c r="I45" s="7"/>
      <c r="J45" s="7"/>
      <c r="K45" s="7"/>
      <c r="L45" s="7"/>
      <c r="M45" s="7"/>
      <c r="N45" s="7"/>
    </row>
    <row r="46" spans="1:15" ht="13.2" x14ac:dyDescent="0.25">
      <c r="A46" s="2" t="s">
        <v>5</v>
      </c>
      <c r="B46" s="2"/>
      <c r="G46" s="7"/>
      <c r="H46" s="7"/>
      <c r="I46" s="7"/>
      <c r="J46" s="7"/>
      <c r="K46" s="7"/>
      <c r="L46" s="7"/>
      <c r="M46" s="7"/>
    </row>
    <row r="47" spans="1:15" ht="13.2" x14ac:dyDescent="0.25">
      <c r="A47" s="2"/>
      <c r="B47" s="2"/>
      <c r="G47" s="7"/>
      <c r="H47" s="7"/>
      <c r="I47" s="7"/>
      <c r="J47" s="7"/>
      <c r="K47" s="7"/>
      <c r="L47" s="7"/>
      <c r="M47" s="7"/>
    </row>
    <row r="48" spans="1:15" ht="13.2" x14ac:dyDescent="0.25">
      <c r="A48" s="37"/>
      <c r="B48" s="44"/>
      <c r="C48" s="24"/>
      <c r="D48" s="24"/>
      <c r="E48" s="24"/>
      <c r="F48" s="24"/>
      <c r="G48" s="7"/>
      <c r="H48" s="7"/>
      <c r="I48" s="7"/>
      <c r="J48" s="7"/>
      <c r="K48" s="7"/>
      <c r="L48" s="7"/>
      <c r="M48" s="7"/>
    </row>
    <row r="49" spans="1:13" ht="13.2" x14ac:dyDescent="0.25">
      <c r="A49" s="37" t="s">
        <v>8</v>
      </c>
      <c r="B49" s="38"/>
      <c r="C49" s="77" t="s">
        <v>108</v>
      </c>
      <c r="D49" s="22" t="s">
        <v>109</v>
      </c>
      <c r="E49" s="22" t="s">
        <v>110</v>
      </c>
      <c r="F49" s="22" t="s">
        <v>105</v>
      </c>
      <c r="G49" s="7"/>
      <c r="H49" s="7"/>
      <c r="I49" s="7"/>
      <c r="J49" s="7"/>
      <c r="K49" s="7"/>
      <c r="L49" s="7"/>
      <c r="M49" s="7"/>
    </row>
    <row r="50" spans="1:13" ht="13.2" x14ac:dyDescent="0.25">
      <c r="A50" s="3" t="s">
        <v>9</v>
      </c>
      <c r="B50" s="5"/>
      <c r="C50" s="5"/>
      <c r="D50" s="43"/>
      <c r="E50" s="43"/>
      <c r="F50" s="43"/>
      <c r="G50" s="7"/>
      <c r="H50" s="7"/>
      <c r="I50" s="7"/>
      <c r="J50" s="7"/>
      <c r="K50" s="7"/>
      <c r="L50" s="7"/>
      <c r="M50" s="7"/>
    </row>
    <row r="51" spans="1:13" ht="13.2" x14ac:dyDescent="0.25">
      <c r="A51" s="4"/>
      <c r="B51" s="5"/>
      <c r="C51" s="5"/>
      <c r="D51" s="43"/>
      <c r="E51" s="43"/>
      <c r="F51" s="43"/>
      <c r="G51" s="7"/>
      <c r="H51" s="7"/>
      <c r="I51" s="7"/>
      <c r="J51" s="7"/>
      <c r="K51" s="7"/>
      <c r="L51" s="7"/>
      <c r="M51" s="7"/>
    </row>
    <row r="52" spans="1:13" ht="13.2" x14ac:dyDescent="0.25">
      <c r="A52" s="4" t="s">
        <v>10</v>
      </c>
      <c r="B52" s="5"/>
      <c r="C52" s="5"/>
      <c r="D52" s="43"/>
      <c r="E52" s="43"/>
      <c r="F52" s="43"/>
      <c r="G52" s="7"/>
      <c r="H52" s="7"/>
      <c r="I52" s="7"/>
      <c r="J52" s="7"/>
      <c r="K52" s="7"/>
      <c r="L52" s="7"/>
      <c r="M52" s="7"/>
    </row>
    <row r="53" spans="1:13" ht="13.2" x14ac:dyDescent="0.25">
      <c r="A53" s="4"/>
      <c r="B53" s="5"/>
      <c r="C53" s="5"/>
      <c r="D53" s="43"/>
      <c r="E53" s="43"/>
      <c r="F53" s="43"/>
      <c r="G53" s="7"/>
      <c r="H53" s="7"/>
      <c r="I53" s="7"/>
      <c r="J53" s="7"/>
      <c r="K53" s="7"/>
      <c r="L53" s="7"/>
      <c r="M53" s="7"/>
    </row>
    <row r="54" spans="1:13" ht="13.2" x14ac:dyDescent="0.25">
      <c r="A54" s="4" t="s">
        <v>11</v>
      </c>
      <c r="B54" s="5"/>
      <c r="C54" s="5"/>
      <c r="D54" s="43"/>
      <c r="E54" s="43"/>
      <c r="F54" s="43"/>
      <c r="G54" s="7"/>
      <c r="H54" s="7"/>
      <c r="I54" s="7"/>
      <c r="J54" s="7"/>
      <c r="K54" s="7"/>
      <c r="L54" s="7"/>
      <c r="M54" s="7"/>
    </row>
    <row r="55" spans="1:13" ht="13.2" x14ac:dyDescent="0.25">
      <c r="A55" s="9" t="s">
        <v>29</v>
      </c>
      <c r="B55" s="57" t="s">
        <v>12</v>
      </c>
      <c r="C55" s="73" t="e">
        <f>L18</f>
        <v>#REF!</v>
      </c>
      <c r="D55" s="73" t="e">
        <f t="shared" ref="D55:E66" si="4">M18</f>
        <v>#REF!</v>
      </c>
      <c r="E55" s="73" t="e">
        <f t="shared" si="4"/>
        <v>#REF!</v>
      </c>
      <c r="F55" s="74" t="e">
        <f>SUM(C55:E55)</f>
        <v>#REF!</v>
      </c>
      <c r="G55" s="7"/>
      <c r="H55" s="7"/>
      <c r="I55" s="7"/>
      <c r="J55" s="7"/>
      <c r="K55" s="7"/>
      <c r="L55" s="7"/>
      <c r="M55" s="7"/>
    </row>
    <row r="56" spans="1:13" ht="13.2" x14ac:dyDescent="0.25">
      <c r="A56" s="9" t="s">
        <v>30</v>
      </c>
      <c r="B56" s="57" t="s">
        <v>92</v>
      </c>
      <c r="C56" s="73" t="e">
        <f t="shared" ref="C56:C66" si="5">L19</f>
        <v>#REF!</v>
      </c>
      <c r="D56" s="73" t="e">
        <f t="shared" si="4"/>
        <v>#REF!</v>
      </c>
      <c r="E56" s="73" t="e">
        <f t="shared" si="4"/>
        <v>#REF!</v>
      </c>
      <c r="F56" s="74" t="e">
        <f t="shared" ref="F56:F66" si="6">SUM(C56:E56)</f>
        <v>#REF!</v>
      </c>
      <c r="G56" s="7"/>
      <c r="H56" s="7"/>
      <c r="I56" s="7"/>
      <c r="J56" s="7"/>
      <c r="K56" s="7"/>
      <c r="L56" s="7"/>
      <c r="M56" s="7"/>
    </row>
    <row r="57" spans="1:13" ht="13.2" x14ac:dyDescent="0.25">
      <c r="A57" s="9" t="s">
        <v>31</v>
      </c>
      <c r="B57" s="57" t="s">
        <v>93</v>
      </c>
      <c r="C57" s="73" t="e">
        <f t="shared" si="5"/>
        <v>#REF!</v>
      </c>
      <c r="D57" s="73" t="e">
        <f t="shared" si="4"/>
        <v>#REF!</v>
      </c>
      <c r="E57" s="73" t="e">
        <f t="shared" si="4"/>
        <v>#REF!</v>
      </c>
      <c r="F57" s="74" t="e">
        <f t="shared" si="6"/>
        <v>#REF!</v>
      </c>
      <c r="G57" s="7"/>
      <c r="H57" s="7"/>
      <c r="I57" s="7"/>
      <c r="J57" s="7"/>
      <c r="K57" s="7"/>
      <c r="L57" s="7"/>
      <c r="M57" s="7"/>
    </row>
    <row r="58" spans="1:13" ht="13.2" x14ac:dyDescent="0.25">
      <c r="A58" s="9" t="s">
        <v>32</v>
      </c>
      <c r="B58" s="57" t="s">
        <v>99</v>
      </c>
      <c r="C58" s="73" t="e">
        <f t="shared" si="5"/>
        <v>#REF!</v>
      </c>
      <c r="D58" s="73" t="e">
        <f t="shared" si="4"/>
        <v>#REF!</v>
      </c>
      <c r="E58" s="73" t="e">
        <f t="shared" si="4"/>
        <v>#REF!</v>
      </c>
      <c r="F58" s="74" t="e">
        <f t="shared" si="6"/>
        <v>#REF!</v>
      </c>
      <c r="G58" s="7"/>
      <c r="H58" s="7"/>
      <c r="I58" s="7"/>
      <c r="J58" s="7"/>
      <c r="K58" s="7"/>
      <c r="L58" s="7"/>
      <c r="M58" s="7"/>
    </row>
    <row r="59" spans="1:13" ht="13.2" x14ac:dyDescent="0.25">
      <c r="A59" s="9" t="s">
        <v>33</v>
      </c>
      <c r="B59" s="57" t="s">
        <v>84</v>
      </c>
      <c r="C59" s="73" t="e">
        <f t="shared" si="5"/>
        <v>#REF!</v>
      </c>
      <c r="D59" s="73" t="e">
        <f t="shared" si="4"/>
        <v>#REF!</v>
      </c>
      <c r="E59" s="73" t="e">
        <f t="shared" si="4"/>
        <v>#REF!</v>
      </c>
      <c r="F59" s="74" t="e">
        <f t="shared" si="6"/>
        <v>#REF!</v>
      </c>
      <c r="G59" s="7"/>
      <c r="H59" s="7"/>
      <c r="I59" s="7"/>
      <c r="J59" s="7"/>
      <c r="K59" s="7"/>
      <c r="L59" s="7"/>
      <c r="M59" s="7"/>
    </row>
    <row r="60" spans="1:13" ht="13.2" x14ac:dyDescent="0.25">
      <c r="A60" s="9" t="s">
        <v>34</v>
      </c>
      <c r="B60" s="57" t="s">
        <v>94</v>
      </c>
      <c r="C60" s="73" t="e">
        <f t="shared" si="5"/>
        <v>#REF!</v>
      </c>
      <c r="D60" s="73" t="e">
        <f t="shared" si="4"/>
        <v>#REF!</v>
      </c>
      <c r="E60" s="73" t="e">
        <f t="shared" si="4"/>
        <v>#REF!</v>
      </c>
      <c r="F60" s="74" t="e">
        <f t="shared" si="6"/>
        <v>#REF!</v>
      </c>
      <c r="G60" s="7"/>
      <c r="H60" s="7"/>
      <c r="I60" s="7"/>
      <c r="J60" s="7"/>
      <c r="K60" s="7"/>
      <c r="L60" s="7"/>
      <c r="M60" s="7"/>
    </row>
    <row r="61" spans="1:13" ht="13.2" x14ac:dyDescent="0.25">
      <c r="A61" s="9" t="s">
        <v>35</v>
      </c>
      <c r="B61" s="57" t="s">
        <v>91</v>
      </c>
      <c r="C61" s="73" t="e">
        <f t="shared" si="5"/>
        <v>#REF!</v>
      </c>
      <c r="D61" s="73" t="e">
        <f t="shared" si="4"/>
        <v>#REF!</v>
      </c>
      <c r="E61" s="73" t="e">
        <f t="shared" si="4"/>
        <v>#REF!</v>
      </c>
      <c r="F61" s="74" t="e">
        <f t="shared" si="6"/>
        <v>#REF!</v>
      </c>
      <c r="G61" s="7"/>
      <c r="H61" s="7"/>
      <c r="I61" s="7"/>
      <c r="J61" s="7"/>
      <c r="K61" s="7"/>
      <c r="L61" s="7"/>
      <c r="M61" s="7"/>
    </row>
    <row r="62" spans="1:13" ht="13.2" x14ac:dyDescent="0.25">
      <c r="A62" s="9" t="s">
        <v>36</v>
      </c>
      <c r="B62" s="57" t="s">
        <v>100</v>
      </c>
      <c r="C62" s="73" t="e">
        <f t="shared" si="5"/>
        <v>#REF!</v>
      </c>
      <c r="D62" s="73" t="e">
        <f t="shared" si="4"/>
        <v>#REF!</v>
      </c>
      <c r="E62" s="73" t="e">
        <f t="shared" si="4"/>
        <v>#REF!</v>
      </c>
      <c r="F62" s="74" t="e">
        <f t="shared" si="6"/>
        <v>#REF!</v>
      </c>
      <c r="G62" s="7"/>
      <c r="H62" s="7"/>
      <c r="I62" s="7"/>
      <c r="J62" s="7"/>
      <c r="K62" s="7"/>
      <c r="L62" s="7"/>
      <c r="M62" s="7"/>
    </row>
    <row r="63" spans="1:13" ht="13.2" x14ac:dyDescent="0.25">
      <c r="A63" s="9" t="s">
        <v>37</v>
      </c>
      <c r="B63" s="57" t="s">
        <v>95</v>
      </c>
      <c r="C63" s="73" t="e">
        <f t="shared" si="5"/>
        <v>#REF!</v>
      </c>
      <c r="D63" s="73" t="e">
        <f t="shared" si="4"/>
        <v>#REF!</v>
      </c>
      <c r="E63" s="73" t="e">
        <f t="shared" si="4"/>
        <v>#REF!</v>
      </c>
      <c r="F63" s="74" t="e">
        <f t="shared" si="6"/>
        <v>#REF!</v>
      </c>
      <c r="G63" s="7"/>
      <c r="H63" s="7"/>
      <c r="I63" s="7"/>
      <c r="J63" s="7"/>
      <c r="K63" s="7"/>
      <c r="L63" s="7"/>
      <c r="M63" s="7"/>
    </row>
    <row r="64" spans="1:13" ht="13.2" x14ac:dyDescent="0.25">
      <c r="A64" s="9" t="s">
        <v>38</v>
      </c>
      <c r="B64" s="57" t="s">
        <v>96</v>
      </c>
      <c r="C64" s="73" t="e">
        <f t="shared" si="5"/>
        <v>#REF!</v>
      </c>
      <c r="D64" s="73" t="e">
        <f t="shared" si="4"/>
        <v>#REF!</v>
      </c>
      <c r="E64" s="73" t="e">
        <f t="shared" si="4"/>
        <v>#REF!</v>
      </c>
      <c r="F64" s="74" t="e">
        <f t="shared" si="6"/>
        <v>#REF!</v>
      </c>
      <c r="G64" s="7"/>
      <c r="H64" s="7"/>
      <c r="I64" s="7"/>
      <c r="J64" s="7"/>
      <c r="K64" s="7"/>
      <c r="L64" s="7"/>
      <c r="M64" s="7"/>
    </row>
    <row r="65" spans="1:15" ht="13.2" x14ac:dyDescent="0.25">
      <c r="A65" s="9" t="s">
        <v>39</v>
      </c>
      <c r="B65" s="57" t="s">
        <v>104</v>
      </c>
      <c r="C65" s="73" t="e">
        <f t="shared" si="5"/>
        <v>#REF!</v>
      </c>
      <c r="D65" s="73" t="e">
        <f t="shared" si="4"/>
        <v>#REF!</v>
      </c>
      <c r="E65" s="73" t="e">
        <f t="shared" si="4"/>
        <v>#REF!</v>
      </c>
      <c r="F65" s="74" t="e">
        <f t="shared" si="6"/>
        <v>#REF!</v>
      </c>
      <c r="G65" s="7"/>
      <c r="H65" s="7"/>
      <c r="I65" s="7"/>
      <c r="J65" s="7"/>
      <c r="K65" s="7"/>
      <c r="L65" s="7"/>
      <c r="M65" s="7"/>
    </row>
    <row r="66" spans="1:15" ht="13.2" x14ac:dyDescent="0.25">
      <c r="A66" s="9" t="s">
        <v>40</v>
      </c>
      <c r="B66" s="57" t="s">
        <v>73</v>
      </c>
      <c r="C66" s="73" t="e">
        <f t="shared" si="5"/>
        <v>#REF!</v>
      </c>
      <c r="D66" s="73" t="e">
        <f t="shared" si="4"/>
        <v>#REF!</v>
      </c>
      <c r="E66" s="73" t="e">
        <f t="shared" si="4"/>
        <v>#REF!</v>
      </c>
      <c r="F66" s="74" t="e">
        <f t="shared" si="6"/>
        <v>#REF!</v>
      </c>
      <c r="G66" s="7"/>
      <c r="H66" s="7"/>
      <c r="I66" s="7"/>
      <c r="J66" s="7"/>
      <c r="K66" s="7"/>
      <c r="L66" s="7"/>
      <c r="M66" s="7"/>
    </row>
    <row r="67" spans="1:15" ht="13.2" x14ac:dyDescent="0.25">
      <c r="A67" s="46"/>
      <c r="B67" s="50"/>
      <c r="C67" s="50"/>
      <c r="D67" s="47"/>
      <c r="E67" s="47"/>
      <c r="F67" s="47"/>
      <c r="G67" s="7"/>
      <c r="H67" s="7"/>
      <c r="I67" s="7"/>
      <c r="J67" s="7"/>
      <c r="K67" s="7"/>
      <c r="L67" s="7"/>
      <c r="M67" s="7"/>
    </row>
    <row r="68" spans="1:15" ht="13.8" thickBot="1" x14ac:dyDescent="0.3">
      <c r="A68" s="4"/>
      <c r="B68" s="10" t="s">
        <v>23</v>
      </c>
      <c r="C68" s="75" t="e">
        <f>SUM(C55:C67)</f>
        <v>#REF!</v>
      </c>
      <c r="D68" s="76" t="e">
        <f>SUM(D55:D67)</f>
        <v>#REF!</v>
      </c>
      <c r="E68" s="75" t="e">
        <f>SUM(E55:E67)</f>
        <v>#REF!</v>
      </c>
      <c r="F68" s="88" t="e">
        <f>SUM(F55:F67)</f>
        <v>#REF!</v>
      </c>
      <c r="G68" s="7"/>
      <c r="H68" s="7"/>
      <c r="I68" s="7"/>
      <c r="J68" s="7"/>
      <c r="K68" s="7"/>
      <c r="L68" s="7"/>
      <c r="M68" s="7"/>
    </row>
    <row r="69" spans="1:15" ht="13.8" thickTop="1" x14ac:dyDescent="0.25">
      <c r="A69" s="6"/>
      <c r="B69" s="72"/>
      <c r="C69" s="47"/>
      <c r="D69" s="14"/>
      <c r="E69" s="47"/>
      <c r="F69" s="50"/>
      <c r="G69" s="7"/>
      <c r="H69" s="7"/>
      <c r="I69" s="7"/>
      <c r="J69" s="7"/>
      <c r="K69" s="7"/>
      <c r="L69" s="7"/>
      <c r="M69" s="7"/>
    </row>
    <row r="70" spans="1:15" ht="13.2" x14ac:dyDescent="0.25">
      <c r="A70" s="4" t="s">
        <v>24</v>
      </c>
      <c r="B70" s="2"/>
      <c r="C70" s="12" t="s">
        <v>57</v>
      </c>
      <c r="D70" s="12"/>
      <c r="E70" s="12"/>
      <c r="F70" s="78"/>
      <c r="G70" s="7"/>
      <c r="H70" s="7"/>
      <c r="I70" s="7"/>
      <c r="J70" s="7"/>
      <c r="K70" s="7"/>
      <c r="L70" s="7"/>
      <c r="M70" s="7"/>
    </row>
    <row r="71" spans="1:15" ht="13.2" x14ac:dyDescent="0.25">
      <c r="A71" s="4"/>
      <c r="B71" s="2"/>
      <c r="C71" s="7"/>
      <c r="D71" s="7"/>
      <c r="E71" s="7"/>
      <c r="F71" s="13"/>
      <c r="G71" s="7"/>
      <c r="H71" s="7"/>
      <c r="I71" s="7"/>
      <c r="J71" s="7"/>
      <c r="K71" s="7"/>
      <c r="L71" s="7"/>
      <c r="M71" s="7"/>
    </row>
    <row r="72" spans="1:15" ht="13.2" x14ac:dyDescent="0.25">
      <c r="A72" s="6"/>
      <c r="B72" s="14"/>
      <c r="C72" s="7"/>
      <c r="D72" s="15"/>
      <c r="E72" s="15"/>
      <c r="F72" s="79"/>
      <c r="G72" s="7"/>
      <c r="H72" s="7"/>
      <c r="I72" s="7"/>
      <c r="J72" s="7"/>
      <c r="K72" s="7"/>
      <c r="L72" s="7"/>
      <c r="M72" s="7"/>
    </row>
    <row r="73" spans="1:15" ht="13.2" x14ac:dyDescent="0.25">
      <c r="A73" s="98" t="s">
        <v>64</v>
      </c>
      <c r="B73" s="99"/>
      <c r="D73" s="90" t="s">
        <v>65</v>
      </c>
      <c r="E73" s="90"/>
      <c r="F73" s="103"/>
      <c r="G73" s="7"/>
      <c r="H73" s="7"/>
      <c r="I73" s="7"/>
      <c r="J73" s="7"/>
      <c r="K73" s="7"/>
      <c r="L73" s="7"/>
      <c r="M73" s="7"/>
    </row>
    <row r="74" spans="1:15" ht="13.2" x14ac:dyDescent="0.25">
      <c r="A74" s="100" t="s">
        <v>25</v>
      </c>
      <c r="B74" s="101"/>
      <c r="C74" s="15"/>
      <c r="D74" s="102" t="s">
        <v>58</v>
      </c>
      <c r="E74" s="102"/>
      <c r="F74" s="104"/>
      <c r="G74" s="7"/>
      <c r="H74" s="7"/>
      <c r="I74" s="7"/>
      <c r="J74" s="7"/>
      <c r="K74" s="7"/>
      <c r="L74" s="7"/>
      <c r="M74" s="7"/>
    </row>
    <row r="75" spans="1:15" ht="13.2" x14ac:dyDescent="0.25">
      <c r="A75" s="37"/>
      <c r="B75" s="44" t="s">
        <v>26</v>
      </c>
      <c r="C75" s="15"/>
      <c r="D75" s="15" t="s">
        <v>26</v>
      </c>
      <c r="E75" s="15"/>
      <c r="F75" s="89"/>
      <c r="G75" s="7"/>
      <c r="H75" s="7"/>
      <c r="I75" s="7"/>
      <c r="J75" s="7"/>
      <c r="K75" s="7"/>
      <c r="L75" s="7"/>
      <c r="M75" s="7"/>
    </row>
    <row r="76" spans="1:15" ht="13.2" x14ac:dyDescent="0.25">
      <c r="A76" s="36"/>
      <c r="B76" s="3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3.2" x14ac:dyDescent="0.25">
      <c r="A77" s="36"/>
      <c r="B77" s="3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3.2" x14ac:dyDescent="0.25">
      <c r="A78" s="92" t="s">
        <v>80</v>
      </c>
      <c r="B78" s="92"/>
      <c r="C78" s="92"/>
      <c r="D78" s="92"/>
      <c r="E78" s="92"/>
      <c r="F78" s="92"/>
      <c r="G78" s="92"/>
      <c r="H78" s="16"/>
      <c r="I78" s="16"/>
      <c r="J78" s="16"/>
      <c r="K78" s="16"/>
      <c r="L78" s="16"/>
      <c r="M78" s="16"/>
      <c r="N78" s="16"/>
      <c r="O78" s="16"/>
    </row>
    <row r="79" spans="1:15" ht="13.2" x14ac:dyDescent="0.25">
      <c r="A79" s="92" t="s">
        <v>107</v>
      </c>
      <c r="B79" s="92"/>
      <c r="C79" s="92"/>
      <c r="D79" s="92"/>
      <c r="E79" s="92"/>
      <c r="F79" s="92"/>
      <c r="G79" s="92"/>
      <c r="H79" s="16"/>
      <c r="I79" s="16"/>
      <c r="J79" s="16"/>
      <c r="K79" s="16"/>
      <c r="L79" s="16"/>
      <c r="M79" s="16"/>
      <c r="N79" s="16"/>
      <c r="O79" s="16"/>
    </row>
    <row r="80" spans="1:15" ht="13.2" x14ac:dyDescent="0.25">
      <c r="A80" s="92" t="s">
        <v>106</v>
      </c>
      <c r="B80" s="92"/>
      <c r="C80" s="92"/>
      <c r="D80" s="92"/>
      <c r="E80" s="92"/>
      <c r="F80" s="92"/>
      <c r="G80" s="92"/>
      <c r="H80" s="16"/>
      <c r="I80" s="16"/>
      <c r="J80" s="16"/>
      <c r="K80" s="16"/>
      <c r="L80" s="16"/>
      <c r="M80" s="16"/>
      <c r="N80" s="16"/>
      <c r="O80" s="16"/>
    </row>
    <row r="81" spans="1:15" ht="13.2" x14ac:dyDescent="0.25">
      <c r="A81" s="92" t="s">
        <v>2</v>
      </c>
      <c r="B81" s="92"/>
      <c r="C81" s="92"/>
      <c r="D81" s="92"/>
      <c r="E81" s="92"/>
      <c r="F81" s="92"/>
      <c r="G81" s="92"/>
      <c r="H81" s="16"/>
      <c r="I81" s="16"/>
      <c r="J81" s="16"/>
      <c r="K81" s="16"/>
      <c r="L81" s="16"/>
      <c r="M81" s="16"/>
      <c r="N81" s="16"/>
      <c r="O81" s="16"/>
    </row>
    <row r="83" spans="1:15" ht="13.2" x14ac:dyDescent="0.25">
      <c r="A83" s="2" t="s">
        <v>3</v>
      </c>
      <c r="B83" s="2"/>
    </row>
    <row r="84" spans="1:15" ht="13.2" x14ac:dyDescent="0.25">
      <c r="A84" s="2" t="s">
        <v>4</v>
      </c>
      <c r="B84" s="2"/>
    </row>
    <row r="85" spans="1:15" ht="13.2" x14ac:dyDescent="0.25">
      <c r="A85" s="2" t="s">
        <v>5</v>
      </c>
      <c r="B85" s="2"/>
    </row>
    <row r="86" spans="1:15" ht="13.2" x14ac:dyDescent="0.25">
      <c r="A86" s="2"/>
      <c r="B86" s="2"/>
    </row>
    <row r="87" spans="1:15" ht="13.2" x14ac:dyDescent="0.25">
      <c r="A87" s="37"/>
      <c r="B87" s="44"/>
      <c r="C87" s="24"/>
      <c r="D87" s="24"/>
      <c r="E87" s="24"/>
      <c r="F87" s="24"/>
      <c r="G87" s="25"/>
    </row>
    <row r="88" spans="1:15" ht="13.2" x14ac:dyDescent="0.25">
      <c r="A88" s="37" t="s">
        <v>8</v>
      </c>
      <c r="B88" s="38"/>
      <c r="C88" s="70" t="s">
        <v>101</v>
      </c>
      <c r="D88" s="22" t="s">
        <v>102</v>
      </c>
      <c r="E88" s="22" t="s">
        <v>103</v>
      </c>
      <c r="F88" s="22" t="s">
        <v>105</v>
      </c>
      <c r="G88" s="22" t="s">
        <v>23</v>
      </c>
    </row>
    <row r="89" spans="1:15" ht="13.2" x14ac:dyDescent="0.25">
      <c r="A89" s="3" t="s">
        <v>9</v>
      </c>
      <c r="B89" s="5"/>
      <c r="C89" s="5"/>
      <c r="D89" s="43"/>
      <c r="E89" s="43"/>
      <c r="F89" s="43"/>
      <c r="G89" s="43"/>
    </row>
    <row r="90" spans="1:15" ht="13.2" x14ac:dyDescent="0.25">
      <c r="A90" s="4"/>
      <c r="B90" s="5"/>
      <c r="C90" s="5"/>
      <c r="D90" s="43"/>
      <c r="E90" s="43"/>
      <c r="F90" s="43"/>
      <c r="G90" s="43"/>
    </row>
    <row r="91" spans="1:15" ht="13.2" x14ac:dyDescent="0.25">
      <c r="A91" s="4" t="s">
        <v>10</v>
      </c>
      <c r="B91" s="5"/>
      <c r="C91" s="5"/>
      <c r="D91" s="43"/>
      <c r="E91" s="43"/>
      <c r="F91" s="43"/>
      <c r="G91" s="43"/>
    </row>
    <row r="92" spans="1:15" ht="13.2" x14ac:dyDescent="0.25">
      <c r="A92" s="4"/>
      <c r="B92" s="5"/>
      <c r="C92" s="5"/>
      <c r="D92" s="43"/>
      <c r="E92" s="43"/>
      <c r="F92" s="43"/>
      <c r="G92" s="43"/>
    </row>
    <row r="93" spans="1:15" ht="13.2" x14ac:dyDescent="0.25">
      <c r="A93" s="4" t="s">
        <v>11</v>
      </c>
      <c r="B93" s="5"/>
      <c r="C93" s="5"/>
      <c r="D93" s="43"/>
      <c r="E93" s="43"/>
      <c r="F93" s="43"/>
      <c r="G93" s="43"/>
    </row>
    <row r="94" spans="1:15" ht="13.2" x14ac:dyDescent="0.25">
      <c r="A94" s="9" t="s">
        <v>29</v>
      </c>
      <c r="B94" s="57" t="s">
        <v>12</v>
      </c>
      <c r="C94" s="73">
        <f>C18+D18+E18</f>
        <v>212775.12</v>
      </c>
      <c r="D94" s="74">
        <f>F18+G18+H18</f>
        <v>505854.9</v>
      </c>
      <c r="E94" s="74">
        <f>I18+J18+K18</f>
        <v>350233.05999999994</v>
      </c>
      <c r="F94" s="74" t="e">
        <f>#REF!</f>
        <v>#REF!</v>
      </c>
      <c r="G94" s="74" t="e">
        <f>SUM(C94:F94)</f>
        <v>#REF!</v>
      </c>
      <c r="K94" s="71" t="e">
        <f t="shared" ref="K94:K105" si="7">G94-O18</f>
        <v>#REF!</v>
      </c>
    </row>
    <row r="95" spans="1:15" ht="13.2" x14ac:dyDescent="0.25">
      <c r="A95" s="9" t="s">
        <v>30</v>
      </c>
      <c r="B95" s="57" t="s">
        <v>92</v>
      </c>
      <c r="C95" s="73">
        <f t="shared" ref="C95:C103" si="8">C19+D19+E19</f>
        <v>170240</v>
      </c>
      <c r="D95" s="74">
        <f t="shared" ref="D95:D103" si="9">F19+G19+H19</f>
        <v>87095</v>
      </c>
      <c r="E95" s="74">
        <f t="shared" ref="E95:E103" si="10">I19+J19+K19</f>
        <v>8325</v>
      </c>
      <c r="F95" s="74" t="e">
        <f>#REF!</f>
        <v>#REF!</v>
      </c>
      <c r="G95" s="74" t="e">
        <f t="shared" ref="G95:G105" si="11">SUM(C95:F95)</f>
        <v>#REF!</v>
      </c>
      <c r="K95" s="71" t="e">
        <f t="shared" si="7"/>
        <v>#REF!</v>
      </c>
    </row>
    <row r="96" spans="1:15" ht="13.2" x14ac:dyDescent="0.25">
      <c r="A96" s="9" t="s">
        <v>31</v>
      </c>
      <c r="B96" s="57" t="s">
        <v>93</v>
      </c>
      <c r="C96" s="73">
        <f t="shared" si="8"/>
        <v>99514</v>
      </c>
      <c r="D96" s="74">
        <f t="shared" si="9"/>
        <v>62765</v>
      </c>
      <c r="E96" s="74">
        <f t="shared" si="10"/>
        <v>100375</v>
      </c>
      <c r="F96" s="74" t="e">
        <f>#REF!</f>
        <v>#REF!</v>
      </c>
      <c r="G96" s="74" t="e">
        <f t="shared" si="11"/>
        <v>#REF!</v>
      </c>
      <c r="K96" s="71" t="e">
        <f t="shared" si="7"/>
        <v>#REF!</v>
      </c>
    </row>
    <row r="97" spans="1:12" ht="13.2" x14ac:dyDescent="0.25">
      <c r="A97" s="9" t="s">
        <v>32</v>
      </c>
      <c r="B97" s="57" t="s">
        <v>99</v>
      </c>
      <c r="C97" s="73">
        <f t="shared" si="8"/>
        <v>36617</v>
      </c>
      <c r="D97" s="74">
        <f t="shared" si="9"/>
        <v>103000</v>
      </c>
      <c r="E97" s="74">
        <f t="shared" si="10"/>
        <v>164413.9</v>
      </c>
      <c r="F97" s="74" t="e">
        <f>#REF!</f>
        <v>#REF!</v>
      </c>
      <c r="G97" s="74" t="e">
        <f t="shared" si="11"/>
        <v>#REF!</v>
      </c>
      <c r="K97" s="71" t="e">
        <f t="shared" si="7"/>
        <v>#REF!</v>
      </c>
    </row>
    <row r="98" spans="1:12" ht="13.2" x14ac:dyDescent="0.25">
      <c r="A98" s="9" t="s">
        <v>33</v>
      </c>
      <c r="B98" s="57" t="s">
        <v>84</v>
      </c>
      <c r="C98" s="73">
        <f t="shared" si="8"/>
        <v>0</v>
      </c>
      <c r="D98" s="74">
        <f t="shared" si="9"/>
        <v>17500</v>
      </c>
      <c r="E98" s="74">
        <f t="shared" si="10"/>
        <v>8050</v>
      </c>
      <c r="F98" s="74" t="e">
        <f>#REF!</f>
        <v>#REF!</v>
      </c>
      <c r="G98" s="74" t="e">
        <f t="shared" si="11"/>
        <v>#REF!</v>
      </c>
      <c r="K98" s="71" t="e">
        <f t="shared" si="7"/>
        <v>#REF!</v>
      </c>
    </row>
    <row r="99" spans="1:12" ht="13.2" x14ac:dyDescent="0.25">
      <c r="A99" s="9" t="s">
        <v>34</v>
      </c>
      <c r="B99" s="57" t="s">
        <v>94</v>
      </c>
      <c r="C99" s="73">
        <f t="shared" si="8"/>
        <v>640</v>
      </c>
      <c r="D99" s="74">
        <f t="shared" si="9"/>
        <v>0</v>
      </c>
      <c r="E99" s="74">
        <f t="shared" si="10"/>
        <v>2200</v>
      </c>
      <c r="F99" s="74" t="e">
        <f>#REF!</f>
        <v>#REF!</v>
      </c>
      <c r="G99" s="74" t="e">
        <f t="shared" si="11"/>
        <v>#REF!</v>
      </c>
      <c r="K99" s="71" t="e">
        <f t="shared" si="7"/>
        <v>#REF!</v>
      </c>
    </row>
    <row r="100" spans="1:12" ht="13.2" x14ac:dyDescent="0.25">
      <c r="A100" s="9" t="s">
        <v>35</v>
      </c>
      <c r="B100" s="57" t="s">
        <v>91</v>
      </c>
      <c r="C100" s="73">
        <f t="shared" si="8"/>
        <v>8600</v>
      </c>
      <c r="D100" s="74">
        <f t="shared" si="9"/>
        <v>5200</v>
      </c>
      <c r="E100" s="74">
        <f t="shared" si="10"/>
        <v>4487.63</v>
      </c>
      <c r="F100" s="74" t="e">
        <f>#REF!</f>
        <v>#REF!</v>
      </c>
      <c r="G100" s="74" t="e">
        <f t="shared" si="11"/>
        <v>#REF!</v>
      </c>
      <c r="K100" s="71" t="e">
        <f t="shared" si="7"/>
        <v>#REF!</v>
      </c>
    </row>
    <row r="101" spans="1:12" ht="13.2" x14ac:dyDescent="0.25">
      <c r="A101" s="9" t="s">
        <v>36</v>
      </c>
      <c r="B101" s="57" t="s">
        <v>100</v>
      </c>
      <c r="C101" s="73">
        <f t="shared" si="8"/>
        <v>283700.54000000004</v>
      </c>
      <c r="D101" s="74">
        <f t="shared" si="9"/>
        <v>211352.5</v>
      </c>
      <c r="E101" s="74">
        <f t="shared" si="10"/>
        <v>138619.04999999999</v>
      </c>
      <c r="F101" s="74" t="e">
        <f>#REF!</f>
        <v>#REF!</v>
      </c>
      <c r="G101" s="74" t="e">
        <f t="shared" si="11"/>
        <v>#REF!</v>
      </c>
      <c r="K101" s="71" t="e">
        <f t="shared" si="7"/>
        <v>#REF!</v>
      </c>
    </row>
    <row r="102" spans="1:12" ht="13.2" x14ac:dyDescent="0.25">
      <c r="A102" s="9" t="s">
        <v>37</v>
      </c>
      <c r="B102" s="57" t="s">
        <v>95</v>
      </c>
      <c r="C102" s="73">
        <f t="shared" si="8"/>
        <v>0</v>
      </c>
      <c r="D102" s="74">
        <f t="shared" si="9"/>
        <v>0</v>
      </c>
      <c r="E102" s="74">
        <f t="shared" si="10"/>
        <v>1650</v>
      </c>
      <c r="F102" s="74" t="e">
        <f>#REF!</f>
        <v>#REF!</v>
      </c>
      <c r="G102" s="74" t="e">
        <f t="shared" si="11"/>
        <v>#REF!</v>
      </c>
      <c r="K102" s="71" t="e">
        <f t="shared" si="7"/>
        <v>#REF!</v>
      </c>
    </row>
    <row r="103" spans="1:12" ht="13.2" x14ac:dyDescent="0.25">
      <c r="A103" s="9" t="s">
        <v>38</v>
      </c>
      <c r="B103" s="57" t="s">
        <v>96</v>
      </c>
      <c r="C103" s="73">
        <f t="shared" si="8"/>
        <v>9500</v>
      </c>
      <c r="D103" s="74">
        <f t="shared" si="9"/>
        <v>26100</v>
      </c>
      <c r="E103" s="74">
        <f t="shared" si="10"/>
        <v>0</v>
      </c>
      <c r="F103" s="74" t="e">
        <f>#REF!</f>
        <v>#REF!</v>
      </c>
      <c r="G103" s="74" t="e">
        <f>SUM(C103:F103)</f>
        <v>#REF!</v>
      </c>
      <c r="K103" s="71" t="e">
        <f t="shared" si="7"/>
        <v>#REF!</v>
      </c>
    </row>
    <row r="104" spans="1:12" ht="13.2" x14ac:dyDescent="0.25">
      <c r="A104" s="9" t="s">
        <v>39</v>
      </c>
      <c r="B104" s="57" t="s">
        <v>104</v>
      </c>
      <c r="C104" s="73">
        <v>0</v>
      </c>
      <c r="D104" s="73">
        <v>0</v>
      </c>
      <c r="E104" s="73">
        <v>0</v>
      </c>
      <c r="F104" s="74" t="e">
        <f>#REF!</f>
        <v>#REF!</v>
      </c>
      <c r="G104" s="74" t="e">
        <f t="shared" si="11"/>
        <v>#REF!</v>
      </c>
      <c r="K104" s="71" t="e">
        <f t="shared" si="7"/>
        <v>#REF!</v>
      </c>
    </row>
    <row r="105" spans="1:12" ht="13.2" x14ac:dyDescent="0.25">
      <c r="A105" s="9" t="s">
        <v>40</v>
      </c>
      <c r="B105" s="57" t="s">
        <v>73</v>
      </c>
      <c r="C105" s="73">
        <v>181060.85</v>
      </c>
      <c r="D105" s="73">
        <v>0</v>
      </c>
      <c r="E105" s="73">
        <v>0</v>
      </c>
      <c r="F105" s="74" t="e">
        <f>#REF!</f>
        <v>#REF!</v>
      </c>
      <c r="G105" s="74" t="e">
        <f t="shared" si="11"/>
        <v>#REF!</v>
      </c>
      <c r="K105" s="71" t="e">
        <f t="shared" si="7"/>
        <v>#REF!</v>
      </c>
    </row>
    <row r="106" spans="1:12" ht="13.2" x14ac:dyDescent="0.25">
      <c r="A106" s="46"/>
      <c r="B106" s="50"/>
      <c r="C106" s="50"/>
      <c r="D106" s="47"/>
      <c r="E106" s="47"/>
      <c r="F106" s="47"/>
      <c r="G106" s="47"/>
    </row>
    <row r="107" spans="1:12" ht="13.8" thickBot="1" x14ac:dyDescent="0.3">
      <c r="A107" s="4"/>
      <c r="B107" s="10" t="s">
        <v>23</v>
      </c>
      <c r="C107" s="75">
        <f>SUM(C94:C106)</f>
        <v>1002647.51</v>
      </c>
      <c r="D107" s="76">
        <f>SUM(D94:D106)</f>
        <v>1018867.4</v>
      </c>
      <c r="E107" s="75">
        <f>SUM(E94:E106)</f>
        <v>778353.6399999999</v>
      </c>
      <c r="F107" s="76" t="e">
        <f>SUM(F94:F106)</f>
        <v>#REF!</v>
      </c>
      <c r="G107" s="75" t="e">
        <f>SUM(G94:G106)</f>
        <v>#REF!</v>
      </c>
    </row>
    <row r="108" spans="1:12" ht="13.8" thickTop="1" x14ac:dyDescent="0.25">
      <c r="A108" s="6"/>
      <c r="B108" s="72"/>
      <c r="C108" s="47"/>
      <c r="D108" s="14"/>
      <c r="E108" s="47"/>
      <c r="F108" s="14"/>
      <c r="G108" s="47"/>
      <c r="L108" s="71" t="e">
        <f>G107-O31</f>
        <v>#REF!</v>
      </c>
    </row>
    <row r="109" spans="1:12" ht="13.2" x14ac:dyDescent="0.25">
      <c r="A109" s="4" t="s">
        <v>24</v>
      </c>
      <c r="B109" s="2"/>
      <c r="C109" s="12"/>
      <c r="D109" s="12" t="s">
        <v>57</v>
      </c>
      <c r="E109" s="12"/>
      <c r="F109" s="12"/>
      <c r="G109" s="78"/>
    </row>
    <row r="110" spans="1:12" ht="13.2" x14ac:dyDescent="0.25">
      <c r="A110" s="4"/>
      <c r="B110" s="2"/>
      <c r="C110" s="7"/>
      <c r="D110" s="7"/>
      <c r="E110" s="7"/>
      <c r="F110" s="7"/>
      <c r="G110" s="13"/>
    </row>
    <row r="111" spans="1:12" ht="13.2" x14ac:dyDescent="0.25">
      <c r="A111" s="6"/>
      <c r="B111" s="14"/>
      <c r="C111" s="7"/>
      <c r="D111" s="7"/>
      <c r="E111" s="15"/>
      <c r="F111" s="15"/>
      <c r="G111" s="79"/>
    </row>
    <row r="112" spans="1:12" ht="13.2" x14ac:dyDescent="0.25">
      <c r="A112" s="98" t="s">
        <v>64</v>
      </c>
      <c r="B112" s="99"/>
      <c r="C112" s="7"/>
      <c r="D112" s="7"/>
      <c r="E112" s="90" t="s">
        <v>65</v>
      </c>
      <c r="F112" s="90"/>
      <c r="G112" s="103"/>
    </row>
    <row r="113" spans="1:7" ht="13.2" x14ac:dyDescent="0.25">
      <c r="A113" s="100" t="s">
        <v>25</v>
      </c>
      <c r="B113" s="101"/>
      <c r="C113" s="15"/>
      <c r="D113" s="15"/>
      <c r="E113" s="102" t="s">
        <v>58</v>
      </c>
      <c r="F113" s="102"/>
      <c r="G113" s="104"/>
    </row>
    <row r="114" spans="1:7" ht="13.2" x14ac:dyDescent="0.25">
      <c r="A114" s="37"/>
      <c r="B114" s="44" t="s">
        <v>26</v>
      </c>
      <c r="C114" s="15"/>
      <c r="D114" s="15"/>
      <c r="E114" s="15" t="s">
        <v>26</v>
      </c>
      <c r="F114" s="15"/>
      <c r="G114" s="79"/>
    </row>
  </sheetData>
  <mergeCells count="31">
    <mergeCell ref="A3:O3"/>
    <mergeCell ref="C11:E11"/>
    <mergeCell ref="F11:H11"/>
    <mergeCell ref="I11:K11"/>
    <mergeCell ref="A2:O2"/>
    <mergeCell ref="A4:O4"/>
    <mergeCell ref="A5:O5"/>
    <mergeCell ref="L11:N11"/>
    <mergeCell ref="E112:G112"/>
    <mergeCell ref="E113:G113"/>
    <mergeCell ref="A78:G78"/>
    <mergeCell ref="A79:G79"/>
    <mergeCell ref="A80:G80"/>
    <mergeCell ref="A81:G81"/>
    <mergeCell ref="A112:B112"/>
    <mergeCell ref="A113:B113"/>
    <mergeCell ref="L36:N36"/>
    <mergeCell ref="L37:N37"/>
    <mergeCell ref="A39:G39"/>
    <mergeCell ref="A40:G40"/>
    <mergeCell ref="A41:G41"/>
    <mergeCell ref="A36:B36"/>
    <mergeCell ref="H36:J36"/>
    <mergeCell ref="A37:B37"/>
    <mergeCell ref="H37:J37"/>
    <mergeCell ref="A38:B38"/>
    <mergeCell ref="A42:G42"/>
    <mergeCell ref="A73:B73"/>
    <mergeCell ref="A74:B74"/>
    <mergeCell ref="D73:F73"/>
    <mergeCell ref="D74:F74"/>
  </mergeCells>
  <pageMargins left="0.5" right="0.5" top="0.75" bottom="0.75" header="0.3" footer="0.3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2009</vt:lpstr>
      <vt:lpstr>2010</vt:lpstr>
      <vt:lpstr>2011</vt:lpstr>
      <vt:lpstr>2012</vt:lpstr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jean</cp:lastModifiedBy>
  <cp:lastPrinted>2014-01-16T17:38:24Z</cp:lastPrinted>
  <dcterms:created xsi:type="dcterms:W3CDTF">2010-09-23T08:28:33Z</dcterms:created>
  <dcterms:modified xsi:type="dcterms:W3CDTF">2014-02-10T09:03:52Z</dcterms:modified>
</cp:coreProperties>
</file>