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48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'Sheet2'!$A$1:$K$95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<sst xmlns="http://schemas.openxmlformats.org/spreadsheetml/2006/main" count="673" uniqueCount="250">
  <si>
    <t xml:space="preserve">                  Special Trust Fund</t>
  </si>
  <si>
    <t xml:space="preserve"> Main</t>
  </si>
  <si>
    <t>Bokod</t>
  </si>
  <si>
    <t>Buguias</t>
  </si>
  <si>
    <t xml:space="preserve"> Grand</t>
  </si>
  <si>
    <t>Campus</t>
  </si>
  <si>
    <t>Campus</t>
  </si>
  <si>
    <t>Total</t>
  </si>
  <si>
    <t>Estimated Expenditures</t>
  </si>
  <si>
    <t xml:space="preserve">Travelling Expenses (financial assistance for faculty, staff and students) </t>
  </si>
  <si>
    <t>/</t>
  </si>
  <si>
    <t>Training &amp; Seminar Expense (financial assistance for seminars/training/</t>
  </si>
  <si>
    <t xml:space="preserve">      Conventions for faculty/staff and students)</t>
  </si>
  <si>
    <t>Grants and Donations (Support to R &amp; D (HARRDEC) consortia)</t>
  </si>
  <si>
    <t>Communication Expenses</t>
  </si>
  <si>
    <t>Light/Water/Power Services</t>
  </si>
  <si>
    <t>Repair and maint. of school bldngs.</t>
  </si>
  <si>
    <t>Repair and maint. of gov' vehicles</t>
  </si>
  <si>
    <t>Gasoline Expenses</t>
  </si>
  <si>
    <t>Student Services (employment during summer)</t>
  </si>
  <si>
    <t xml:space="preserve">Award &amp; Incentives </t>
  </si>
  <si>
    <t>Information Technology</t>
  </si>
  <si>
    <t>Athletics</t>
  </si>
  <si>
    <t>Honorarium - Board of Regents &amp; other committees</t>
  </si>
  <si>
    <t>Security Guards</t>
  </si>
  <si>
    <t>Insurance (BSU Vehicles and Bldngs.)</t>
  </si>
  <si>
    <t>Printing &amp; Binding Expense</t>
  </si>
  <si>
    <t>Advertising Expense</t>
  </si>
  <si>
    <t>Meals and snacks of visitors, officials &amp; Other Exp.</t>
  </si>
  <si>
    <t>II. FIDUCIARY EXPENSES</t>
  </si>
  <si>
    <t>Diploma</t>
  </si>
  <si>
    <t>Official Transcript of Records Expense</t>
  </si>
  <si>
    <t>Graduation Expense</t>
  </si>
  <si>
    <t>Library Books/maintenance of Library Facilities</t>
  </si>
  <si>
    <t>Identification Card</t>
  </si>
  <si>
    <t>Insurance Expense  (for students)</t>
  </si>
  <si>
    <t>ICT - maintenance/equipment</t>
  </si>
  <si>
    <t>Educational Technology maintenance</t>
  </si>
  <si>
    <t>Development Fund for Graduate School</t>
  </si>
  <si>
    <t>Total</t>
  </si>
  <si>
    <t>III. CAPITAL OUTLAY</t>
  </si>
  <si>
    <t>a. Land Improvements</t>
  </si>
  <si>
    <t>sub-total</t>
  </si>
  <si>
    <t>b. Building &amp; Structures Outlay</t>
  </si>
  <si>
    <t>Administration</t>
  </si>
  <si>
    <t>Instruction</t>
  </si>
  <si>
    <t>Research &amp;</t>
  </si>
  <si>
    <t>Extension</t>
  </si>
  <si>
    <t xml:space="preserve">c. Instructional/ Office  Equipments </t>
  </si>
  <si>
    <t>Medical/Dental supplies</t>
  </si>
  <si>
    <t>Instructional and Laboratory Supplies/equipment</t>
  </si>
  <si>
    <t xml:space="preserve">         Total</t>
  </si>
  <si>
    <t xml:space="preserve">Physical Education Expense </t>
  </si>
  <si>
    <t>Instructional/farm/office  Supplies</t>
  </si>
  <si>
    <t xml:space="preserve">       Certified correct:</t>
  </si>
  <si>
    <t>MARY JOY S. RAPUSO</t>
  </si>
  <si>
    <t>ALLOTMENT</t>
  </si>
  <si>
    <t>Intellectual Property Right (APR)</t>
  </si>
  <si>
    <t>Graduate School (Research Journal)</t>
  </si>
  <si>
    <t>Out- of- State- Fees</t>
  </si>
  <si>
    <t>Total available allotment for obligations - STF</t>
  </si>
  <si>
    <t>Culture &amp; Arts Fee</t>
  </si>
  <si>
    <t>Special Class (CTE)</t>
  </si>
  <si>
    <t>ROTC Fund</t>
  </si>
  <si>
    <t>NSTP Fund</t>
  </si>
  <si>
    <t>Intellectual Property Right (IPR)</t>
  </si>
  <si>
    <t>Contractual wages - Faculty &amp; Staff</t>
  </si>
  <si>
    <t xml:space="preserve">Chief Administrative Officer </t>
  </si>
  <si>
    <t>Campus Master Plan</t>
  </si>
  <si>
    <t>CHET AFFiliation Fee</t>
  </si>
  <si>
    <t>CHET RLE Fee</t>
  </si>
  <si>
    <t>CN AFFiliation Fee</t>
  </si>
  <si>
    <t>CN RLE Fee</t>
  </si>
  <si>
    <t xml:space="preserve">Development Fund for Graduate School </t>
  </si>
  <si>
    <t xml:space="preserve">Special Class (CTE)  </t>
  </si>
  <si>
    <t xml:space="preserve">ROTC Fund     </t>
  </si>
  <si>
    <t>Internet &amp; Back up connec tion</t>
  </si>
  <si>
    <t>Open University</t>
  </si>
  <si>
    <t>OSA Testing Fee</t>
  </si>
  <si>
    <t>Grand Total</t>
  </si>
  <si>
    <t>1. RF 163 (Non-agribased Projects)*</t>
  </si>
  <si>
    <t>2. FR 161 ( Agribased Project)*</t>
  </si>
  <si>
    <t xml:space="preserve">Contractual wages - Faculty &amp; Staff </t>
  </si>
  <si>
    <t>Statement of allotment of Obligations and Balances</t>
  </si>
  <si>
    <t>Benguet State University</t>
  </si>
  <si>
    <t xml:space="preserve">  La Trinidad, Benguet</t>
  </si>
  <si>
    <t xml:space="preserve">Special Trust Fund </t>
  </si>
  <si>
    <t>Object of Expenditures</t>
  </si>
  <si>
    <t>College of</t>
  </si>
  <si>
    <t>Agriculture</t>
  </si>
  <si>
    <t>College of Arts &amp;</t>
  </si>
  <si>
    <t>Sciences</t>
  </si>
  <si>
    <t>College of Eng'g</t>
  </si>
  <si>
    <t xml:space="preserve"> &amp; Applied Tech.</t>
  </si>
  <si>
    <t>Forestry</t>
  </si>
  <si>
    <t>College of Home</t>
  </si>
  <si>
    <t>Econ. &amp; Tech.</t>
  </si>
  <si>
    <t>Nursing</t>
  </si>
  <si>
    <t>College of Teacher</t>
  </si>
  <si>
    <t>Education</t>
  </si>
  <si>
    <t>College of Veterinary</t>
  </si>
  <si>
    <t xml:space="preserve"> Medicine</t>
  </si>
  <si>
    <t>Graduate</t>
  </si>
  <si>
    <t>School</t>
  </si>
  <si>
    <t xml:space="preserve">                                            INSTRUCTION SERVICES</t>
  </si>
  <si>
    <t>Travelling Expenses</t>
  </si>
  <si>
    <t>Training &amp; Seminar Expenses</t>
  </si>
  <si>
    <t xml:space="preserve"> Human Resource Development</t>
  </si>
  <si>
    <t xml:space="preserve">  Other Services</t>
  </si>
  <si>
    <t>Total MOOE</t>
  </si>
  <si>
    <t xml:space="preserve">   Laboratory &amp; Instructional</t>
  </si>
  <si>
    <t xml:space="preserve">         Equipments</t>
  </si>
  <si>
    <t>B. MOOE</t>
  </si>
  <si>
    <t>C. CAPITAL OUTLAY</t>
  </si>
  <si>
    <t xml:space="preserve"> Total Capital Outlay</t>
  </si>
  <si>
    <t>CTE Field Study</t>
  </si>
  <si>
    <t>1. Flood Control (Piggery area)</t>
  </si>
  <si>
    <t>Total Capital Outlay</t>
  </si>
  <si>
    <t>IV. SPECIAL PROJECTS</t>
  </si>
  <si>
    <t xml:space="preserve">  a. Organic Agricutlure</t>
  </si>
  <si>
    <t xml:space="preserve">  b. Biodiv ersity Project</t>
  </si>
  <si>
    <t>Total Special Projects</t>
  </si>
  <si>
    <t xml:space="preserve">TOTAL   </t>
  </si>
  <si>
    <t>Add: IGP Development Fund</t>
  </si>
  <si>
    <t xml:space="preserve">  Communication Expenses</t>
  </si>
  <si>
    <t xml:space="preserve"> Printing &amp; Binding Expenses</t>
  </si>
  <si>
    <t xml:space="preserve"> Repair &amp; Maint. Of Office Equipment</t>
  </si>
  <si>
    <t xml:space="preserve"> Communication Expenses</t>
  </si>
  <si>
    <t xml:space="preserve">  Printing &amp; Binding Expenses</t>
  </si>
  <si>
    <t xml:space="preserve">  Repair &amp; maintenance of Office Equip</t>
  </si>
  <si>
    <t xml:space="preserve">   Communication Expenses</t>
  </si>
  <si>
    <t>Supplies &amp; Materials/Lab./inst supplies</t>
  </si>
  <si>
    <t xml:space="preserve">  Gasoline Expenses</t>
  </si>
  <si>
    <t xml:space="preserve">  Repair &amp; Maintenance of office &amp; Equip</t>
  </si>
  <si>
    <t xml:space="preserve">  Membership Dues &amp; Contribution</t>
  </si>
  <si>
    <t>Meals and snacks of visitors, officials &amp; Other Exp.*</t>
  </si>
  <si>
    <t>Honorarium - Board of Regents &amp; other committees*</t>
  </si>
  <si>
    <t>Instructional/farm/office  Supplies*</t>
  </si>
  <si>
    <t xml:space="preserve">  Advertising expense</t>
  </si>
  <si>
    <t xml:space="preserve">  Advertising Expense</t>
  </si>
  <si>
    <t>/final</t>
  </si>
  <si>
    <t xml:space="preserve">                 ESTRELLITA M. DACLAN</t>
  </si>
  <si>
    <t xml:space="preserve">     Certitifed Correct:</t>
  </si>
  <si>
    <t xml:space="preserve">              Supervising Administrative Officer</t>
  </si>
  <si>
    <t>Insurance Expense  (for students)***</t>
  </si>
  <si>
    <t>Nursing*</t>
  </si>
  <si>
    <t>VPAA &amp; Other</t>
  </si>
  <si>
    <t>Auxillary Services</t>
  </si>
  <si>
    <t>Sports &amp; Culture &amp; Arts Fee******</t>
  </si>
  <si>
    <t>BEN D. LADILAD</t>
  </si>
  <si>
    <t xml:space="preserve">      President</t>
  </si>
  <si>
    <t xml:space="preserve">                ESTRELLITA M. DACLAN</t>
  </si>
  <si>
    <t xml:space="preserve">            Supervising Administrative Officer</t>
  </si>
  <si>
    <t>As of December  31,2011</t>
  </si>
  <si>
    <t>OBLIGATIONS AS OF December 31, 2011</t>
  </si>
  <si>
    <t>BALANCES AS OF December 31, 2011</t>
  </si>
  <si>
    <t>II. FIDUCIARY EXPENSES**********</t>
  </si>
  <si>
    <t>CHET Affiliation Fee</t>
  </si>
  <si>
    <t>A. Personal Services</t>
  </si>
  <si>
    <t xml:space="preserve">         Honorarium</t>
  </si>
  <si>
    <t xml:space="preserve">    Total</t>
  </si>
  <si>
    <t xml:space="preserve">Total </t>
  </si>
  <si>
    <t>Total Current Operating Expenses</t>
  </si>
  <si>
    <t>b. MOOE</t>
  </si>
  <si>
    <t>Grants and Donations (Support to R &amp; D consortia)</t>
  </si>
  <si>
    <t>Development Fund for Laboratory Schools (SLS)</t>
  </si>
  <si>
    <t>Development Fund for Laboratory Schools(ELS)</t>
  </si>
  <si>
    <t>Development Fund for Laboratory Schools (ELS)</t>
  </si>
  <si>
    <t xml:space="preserve">Special Class (CTE) </t>
  </si>
  <si>
    <t>Boy'S Dormitory</t>
  </si>
  <si>
    <t>Girl's Dormitory</t>
  </si>
  <si>
    <t>CA Summer Bridging Fee</t>
  </si>
  <si>
    <t>CTE Student Teaching/Affiliation</t>
  </si>
  <si>
    <t>CTE Student Teaching/CTE Affiliation</t>
  </si>
  <si>
    <t>2. Perimeter Fencing (Animal Project)</t>
  </si>
  <si>
    <t>1. Construction of Green House (Pomology)</t>
  </si>
  <si>
    <t>2. Rehabilitation of Floriculture Laboratory</t>
  </si>
  <si>
    <t>3. Construction of Greenhouses (Floricultue)</t>
  </si>
  <si>
    <t>4. Counterpart to the Construction of ATBI Bldng.</t>
  </si>
  <si>
    <t xml:space="preserve">  c.  Eco - Waste management</t>
  </si>
  <si>
    <t>5. Construction of Student Center</t>
  </si>
  <si>
    <t>As of Januar 31, 2012</t>
  </si>
  <si>
    <t>OBLIGATIONS AS OFJanuary 31,2012</t>
  </si>
  <si>
    <t xml:space="preserve">Training &amp; Seminar Expense </t>
  </si>
  <si>
    <t>Contractual wages - Job order employees</t>
  </si>
  <si>
    <t>3. Continuation of Covered Walk</t>
  </si>
  <si>
    <t>4. Perimeter Fencing (Gladiola to Housing)</t>
  </si>
  <si>
    <t>5. Entrance Road Concreting</t>
  </si>
  <si>
    <t>6. Continuation of CTE Building</t>
  </si>
  <si>
    <t>7. Construction of Animal Science Lab.</t>
  </si>
  <si>
    <t>8. Construction of  Laboratory Facilities for Chem &amp;Horti</t>
  </si>
  <si>
    <t>9. Construction of  Laboratory Facilities for Floriculture</t>
  </si>
  <si>
    <t>10. Construction of Agri-Project Improvement</t>
  </si>
  <si>
    <t>12.  Repair of Comfort Rooms</t>
  </si>
  <si>
    <t>11.  Construction of Comfort Rooms Building</t>
  </si>
  <si>
    <t>6. Construction of Guard Houses</t>
  </si>
  <si>
    <t>d. Finance automation</t>
  </si>
  <si>
    <t xml:space="preserve">          (Finance Division)</t>
  </si>
  <si>
    <t xml:space="preserve">                   FY 2012 - Allotment</t>
  </si>
  <si>
    <t>Note: Continuing Appropriations is incorporated in the allotment</t>
  </si>
  <si>
    <t xml:space="preserve">Open University </t>
  </si>
  <si>
    <t>College of Agriculture Review Fund (CA LEA)</t>
  </si>
  <si>
    <t>College of Agriculture -Pomology Fund</t>
  </si>
  <si>
    <t>College of Agricuture (Horti., Soil Science &amp; Flori.)</t>
  </si>
  <si>
    <t>College of Arts and Sciences - MPS IGP Fund</t>
  </si>
  <si>
    <t>College of Arts and Sciences - (Other IGS) funds</t>
  </si>
  <si>
    <t>College of Arts and Sciences - Humanities Fund</t>
  </si>
  <si>
    <t>College of Arts and Sciences - Dramatics Club Fund</t>
  </si>
  <si>
    <t>College of Forestry - IGP Fund</t>
  </si>
  <si>
    <t>CHET - Canteen Fund</t>
  </si>
  <si>
    <t>CHET - Toga Fund</t>
  </si>
  <si>
    <t>CHET - BSND Review Fund</t>
  </si>
  <si>
    <t>CHET - (Other IGP) funds</t>
  </si>
  <si>
    <t>College of NURSING Review Fund</t>
  </si>
  <si>
    <t>College of Teacher Education -LET Review Fund</t>
  </si>
  <si>
    <t>CTE ECDC (Early Childhood Dev't Center) Fund</t>
  </si>
  <si>
    <t>CTE Summer Bridge Program Fund</t>
  </si>
  <si>
    <t>CTE PGCA (Graduate Guidance Fora) Fund</t>
  </si>
  <si>
    <t>College of Veterinary Medicine Review Fund</t>
  </si>
  <si>
    <t>CVM Rabies Fund</t>
  </si>
  <si>
    <t>International Languge Center (TESOL &amp; Foreign Lang.)</t>
  </si>
  <si>
    <t>College of Agriculture Trust Fund</t>
  </si>
  <si>
    <t>CHET- Bachelor of Science in Nutrition &amp; Dietetics</t>
  </si>
  <si>
    <t>Note: *Additional allocation for Research Services-DAR ARCCESS-P320,000</t>
  </si>
  <si>
    <t xml:space="preserve">     *** CHED-HEI - 499,999.95 (already included in the preparation of IOB)</t>
  </si>
  <si>
    <t>***** Increase in ID collection of 524,381  (additional allocation for ID)</t>
  </si>
  <si>
    <t>******additional line item in FF as per Office  Memo No. 13 Series 0f 2012</t>
  </si>
  <si>
    <t>Approved:</t>
  </si>
  <si>
    <t>National Agricultural &amp; Fishery Council</t>
  </si>
  <si>
    <t>CTE Guidance Review</t>
  </si>
  <si>
    <t>National Agricultural &amp; Fishery  Council</t>
  </si>
  <si>
    <t>CTE Guidance Review********</t>
  </si>
  <si>
    <t>National Agricultural &amp; Fishery Council**********</t>
  </si>
  <si>
    <t>********CTE Guidance Review-40,000</t>
  </si>
  <si>
    <t>********** NAFC 298,050.5</t>
  </si>
  <si>
    <t>Penagbenga-C&amp;A=210,000.00</t>
  </si>
  <si>
    <t>Philippine Forestry  Education Network (PFEN)</t>
  </si>
  <si>
    <t xml:space="preserve">Philippine Forestry Education Network (PFEN) </t>
  </si>
  <si>
    <t>Phillipine Forestry Education Network (PFEN)</t>
  </si>
  <si>
    <t>Note: for December, Fiduciary collection was adjusted to actual collection</t>
  </si>
  <si>
    <t>Statement of Allotment, Obligations and Balances as of December 31, 2012</t>
  </si>
  <si>
    <t xml:space="preserve">OBLIGATIONS as of December 31, 2012  </t>
  </si>
  <si>
    <t>BALANCES as of December 31, 2012</t>
  </si>
  <si>
    <t>Total  Balances as of December 31, 2012</t>
  </si>
  <si>
    <t>Total  obligations  as of December 31, 2012</t>
  </si>
  <si>
    <t>CHED Acceleration Fund</t>
  </si>
  <si>
    <t>CHED Acceleration Fund   *ff</t>
  </si>
  <si>
    <t xml:space="preserve">        **DOST -TAPI -23,000 (969) *ff CHED Acceleration Fund-17M</t>
  </si>
  <si>
    <t>****Actual Income OADC as of June- 94,840, CTE Let Review 687,055.38</t>
  </si>
  <si>
    <t>Recommending Approval:</t>
  </si>
</sst>
</file>

<file path=xl/styles.xml><?xml version="1.0" encoding="utf-8"?>
<styleSheet xmlns="http://schemas.openxmlformats.org/spreadsheetml/2006/main">
  <numFmts count="24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_(* #,##0.00_);_(* \(#,##0.00\);_(* \-??_);_(@_)"/>
    <numFmt numFmtId="179" formatCode="_(* #,##0_);_(* \(#,##0\);_(* \-??_);_(@_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Book Antiqua"/>
      <family val="1"/>
    </font>
    <font>
      <sz val="12"/>
      <name val="Arial Rounded MT Bold"/>
      <family val="2"/>
    </font>
    <font>
      <sz val="9"/>
      <name val="Book Antiqua"/>
      <family val="1"/>
    </font>
    <font>
      <sz val="8"/>
      <name val="Book Antiqua"/>
      <family val="1"/>
    </font>
    <font>
      <b/>
      <sz val="12"/>
      <name val="Arial Rounded MT Bold"/>
      <family val="2"/>
    </font>
    <font>
      <b/>
      <sz val="9"/>
      <name val="Book Antiqua"/>
      <family val="1"/>
    </font>
    <font>
      <b/>
      <sz val="10"/>
      <name val="Arial"/>
      <family val="2"/>
    </font>
    <font>
      <sz val="10"/>
      <name val="Book Antiqua"/>
      <family val="1"/>
    </font>
    <font>
      <b/>
      <sz val="8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i/>
      <sz val="9"/>
      <name val="Bodoni MT"/>
      <family val="1"/>
    </font>
    <font>
      <sz val="9"/>
      <name val="Bodoni MT"/>
      <family val="1"/>
    </font>
    <font>
      <b/>
      <i/>
      <sz val="9"/>
      <name val="Bodoni MT"/>
      <family val="1"/>
    </font>
    <font>
      <b/>
      <sz val="9"/>
      <name val="Bodoni MT"/>
      <family val="1"/>
    </font>
    <font>
      <b/>
      <sz val="8"/>
      <name val="Book Antiqua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8" fontId="0" fillId="0" borderId="0" applyFon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13" xfId="0" applyFont="1" applyBorder="1" applyAlignment="1" quotePrefix="1">
      <alignment/>
    </xf>
    <xf numFmtId="0" fontId="9" fillId="0" borderId="13" xfId="0" applyFont="1" applyFill="1" applyBorder="1" applyAlignment="1" quotePrefix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8" fillId="0" borderId="20" xfId="0" applyFont="1" applyFill="1" applyBorder="1" applyAlignment="1" quotePrefix="1">
      <alignment/>
    </xf>
    <xf numFmtId="0" fontId="0" fillId="0" borderId="21" xfId="0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6" xfId="0" applyFont="1" applyFill="1" applyBorder="1" applyAlignment="1" quotePrefix="1">
      <alignment/>
    </xf>
    <xf numFmtId="0" fontId="0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 quotePrefix="1">
      <alignment/>
    </xf>
    <xf numFmtId="178" fontId="1" fillId="0" borderId="0" xfId="42" applyFont="1" applyAlignment="1">
      <alignment/>
    </xf>
    <xf numFmtId="178" fontId="1" fillId="0" borderId="0" xfId="42" applyFont="1" applyFill="1" applyBorder="1" applyAlignment="1">
      <alignment/>
    </xf>
    <xf numFmtId="4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8" fontId="1" fillId="0" borderId="0" xfId="42" applyFont="1" applyBorder="1" applyAlignment="1">
      <alignment/>
    </xf>
    <xf numFmtId="178" fontId="0" fillId="0" borderId="0" xfId="42" applyFont="1" applyAlignment="1">
      <alignment/>
    </xf>
    <xf numFmtId="0" fontId="0" fillId="0" borderId="0" xfId="0" applyFont="1" applyFill="1" applyBorder="1" applyAlignment="1">
      <alignment/>
    </xf>
    <xf numFmtId="178" fontId="0" fillId="0" borderId="0" xfId="42" applyFont="1" applyBorder="1" applyAlignment="1">
      <alignment/>
    </xf>
    <xf numFmtId="0" fontId="0" fillId="0" borderId="0" xfId="0" applyBorder="1" applyAlignment="1">
      <alignment/>
    </xf>
    <xf numFmtId="178" fontId="0" fillId="0" borderId="15" xfId="42" applyFont="1" applyBorder="1" applyAlignment="1">
      <alignment/>
    </xf>
    <xf numFmtId="0" fontId="0" fillId="0" borderId="15" xfId="0" applyFont="1" applyBorder="1" applyAlignment="1">
      <alignment/>
    </xf>
    <xf numFmtId="178" fontId="1" fillId="0" borderId="19" xfId="42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78" fontId="1" fillId="0" borderId="17" xfId="42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78" fontId="1" fillId="0" borderId="23" xfId="42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0" fillId="0" borderId="28" xfId="0" applyFont="1" applyBorder="1" applyAlignment="1">
      <alignment horizontal="center"/>
    </xf>
    <xf numFmtId="178" fontId="1" fillId="0" borderId="21" xfId="42" applyFont="1" applyBorder="1" applyAlignment="1">
      <alignment horizontal="center"/>
    </xf>
    <xf numFmtId="178" fontId="10" fillId="0" borderId="23" xfId="42" applyFont="1" applyBorder="1" applyAlignment="1">
      <alignment/>
    </xf>
    <xf numFmtId="178" fontId="1" fillId="0" borderId="23" xfId="42" applyFont="1" applyBorder="1" applyAlignment="1">
      <alignment/>
    </xf>
    <xf numFmtId="178" fontId="1" fillId="0" borderId="19" xfId="42" applyFont="1" applyBorder="1" applyAlignment="1">
      <alignment/>
    </xf>
    <xf numFmtId="178" fontId="1" fillId="0" borderId="17" xfId="42" applyFont="1" applyBorder="1" applyAlignment="1">
      <alignment/>
    </xf>
    <xf numFmtId="178" fontId="1" fillId="0" borderId="15" xfId="42" applyFont="1" applyBorder="1" applyAlignment="1">
      <alignment/>
    </xf>
    <xf numFmtId="178" fontId="1" fillId="0" borderId="21" xfId="42" applyFont="1" applyBorder="1" applyAlignment="1">
      <alignment/>
    </xf>
    <xf numFmtId="0" fontId="10" fillId="0" borderId="0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42" applyFont="1" applyBorder="1" applyAlignment="1">
      <alignment/>
    </xf>
    <xf numFmtId="178" fontId="10" fillId="0" borderId="0" xfId="0" applyNumberFormat="1" applyFont="1" applyBorder="1" applyAlignment="1">
      <alignment/>
    </xf>
    <xf numFmtId="43" fontId="10" fillId="0" borderId="0" xfId="0" applyNumberFormat="1" applyFont="1" applyBorder="1" applyAlignment="1">
      <alignment/>
    </xf>
    <xf numFmtId="178" fontId="1" fillId="0" borderId="20" xfId="42" applyFont="1" applyBorder="1" applyAlignment="1">
      <alignment/>
    </xf>
    <xf numFmtId="178" fontId="10" fillId="0" borderId="17" xfId="42" applyFont="1" applyBorder="1" applyAlignment="1">
      <alignment/>
    </xf>
    <xf numFmtId="178" fontId="1" fillId="0" borderId="16" xfId="42" applyFont="1" applyBorder="1" applyAlignment="1">
      <alignment/>
    </xf>
    <xf numFmtId="178" fontId="10" fillId="0" borderId="21" xfId="42" applyFont="1" applyBorder="1" applyAlignment="1">
      <alignment/>
    </xf>
    <xf numFmtId="178" fontId="1" fillId="0" borderId="0" xfId="42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178" fontId="1" fillId="0" borderId="29" xfId="42" applyFont="1" applyFill="1" applyBorder="1" applyAlignment="1" applyProtection="1">
      <alignment/>
      <protection/>
    </xf>
    <xf numFmtId="178" fontId="1" fillId="0" borderId="30" xfId="42" applyFont="1" applyFill="1" applyBorder="1" applyAlignment="1" applyProtection="1">
      <alignment/>
      <protection/>
    </xf>
    <xf numFmtId="178" fontId="1" fillId="0" borderId="31" xfId="42" applyFont="1" applyFill="1" applyBorder="1" applyAlignment="1" applyProtection="1">
      <alignment/>
      <protection/>
    </xf>
    <xf numFmtId="178" fontId="1" fillId="0" borderId="32" xfId="42" applyFont="1" applyBorder="1" applyAlignment="1">
      <alignment/>
    </xf>
    <xf numFmtId="178" fontId="1" fillId="0" borderId="33" xfId="42" applyFont="1" applyBorder="1" applyAlignment="1">
      <alignment/>
    </xf>
    <xf numFmtId="178" fontId="1" fillId="0" borderId="34" xfId="42" applyFont="1" applyFill="1" applyBorder="1" applyAlignment="1" applyProtection="1">
      <alignment/>
      <protection/>
    </xf>
    <xf numFmtId="178" fontId="10" fillId="0" borderId="35" xfId="42" applyFont="1" applyFill="1" applyBorder="1" applyAlignment="1" applyProtection="1">
      <alignment/>
      <protection/>
    </xf>
    <xf numFmtId="178" fontId="10" fillId="0" borderId="36" xfId="42" applyFont="1" applyFill="1" applyBorder="1" applyAlignment="1" applyProtection="1">
      <alignment/>
      <protection/>
    </xf>
    <xf numFmtId="178" fontId="1" fillId="0" borderId="37" xfId="42" applyFont="1" applyFill="1" applyBorder="1" applyAlignment="1" applyProtection="1">
      <alignment/>
      <protection/>
    </xf>
    <xf numFmtId="178" fontId="1" fillId="0" borderId="38" xfId="42" applyFont="1" applyFill="1" applyBorder="1" applyAlignment="1" applyProtection="1">
      <alignment/>
      <protection/>
    </xf>
    <xf numFmtId="178" fontId="10" fillId="0" borderId="39" xfId="42" applyFont="1" applyFill="1" applyBorder="1" applyAlignment="1" applyProtection="1">
      <alignment/>
      <protection/>
    </xf>
    <xf numFmtId="178" fontId="1" fillId="0" borderId="40" xfId="42" applyFont="1" applyFill="1" applyBorder="1" applyAlignment="1" applyProtection="1">
      <alignment/>
      <protection/>
    </xf>
    <xf numFmtId="178" fontId="1" fillId="0" borderId="20" xfId="42" applyFont="1" applyFill="1" applyBorder="1" applyAlignment="1" applyProtection="1">
      <alignment/>
      <protection/>
    </xf>
    <xf numFmtId="178" fontId="1" fillId="0" borderId="32" xfId="42" applyFont="1" applyFill="1" applyBorder="1" applyAlignment="1" applyProtection="1">
      <alignment/>
      <protection/>
    </xf>
    <xf numFmtId="178" fontId="1" fillId="0" borderId="41" xfId="42" applyFont="1" applyFill="1" applyBorder="1" applyAlignment="1" applyProtection="1">
      <alignment/>
      <protection/>
    </xf>
    <xf numFmtId="178" fontId="1" fillId="0" borderId="42" xfId="42" applyFont="1" applyFill="1" applyBorder="1" applyAlignment="1" applyProtection="1">
      <alignment/>
      <protection/>
    </xf>
    <xf numFmtId="178" fontId="10" fillId="0" borderId="16" xfId="42" applyFont="1" applyFill="1" applyBorder="1" applyAlignment="1" applyProtection="1">
      <alignment/>
      <protection/>
    </xf>
    <xf numFmtId="178" fontId="10" fillId="0" borderId="20" xfId="42" applyFont="1" applyFill="1" applyBorder="1" applyAlignment="1" applyProtection="1">
      <alignment/>
      <protection/>
    </xf>
    <xf numFmtId="178" fontId="10" fillId="0" borderId="21" xfId="42" applyFont="1" applyFill="1" applyBorder="1" applyAlignment="1" applyProtection="1">
      <alignment/>
      <protection/>
    </xf>
    <xf numFmtId="178" fontId="10" fillId="0" borderId="0" xfId="42" applyFont="1" applyFill="1" applyBorder="1" applyAlignment="1" applyProtection="1">
      <alignment/>
      <protection/>
    </xf>
    <xf numFmtId="178" fontId="1" fillId="0" borderId="15" xfId="42" applyFont="1" applyFill="1" applyBorder="1" applyAlignment="1" applyProtection="1">
      <alignment/>
      <protection/>
    </xf>
    <xf numFmtId="179" fontId="1" fillId="0" borderId="37" xfId="42" applyNumberFormat="1" applyFont="1" applyFill="1" applyBorder="1" applyAlignment="1" applyProtection="1">
      <alignment/>
      <protection/>
    </xf>
    <xf numFmtId="0" fontId="10" fillId="0" borderId="15" xfId="0" applyFont="1" applyBorder="1" applyAlignment="1">
      <alignment/>
    </xf>
    <xf numFmtId="178" fontId="0" fillId="0" borderId="0" xfId="42" applyFont="1" applyAlignment="1">
      <alignment/>
    </xf>
    <xf numFmtId="178" fontId="8" fillId="0" borderId="0" xfId="42" applyFont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1" fillId="0" borderId="21" xfId="0" applyNumberFormat="1" applyFont="1" applyBorder="1" applyAlignment="1">
      <alignment/>
    </xf>
    <xf numFmtId="179" fontId="9" fillId="0" borderId="43" xfId="42" applyNumberFormat="1" applyFont="1" applyFill="1" applyBorder="1" applyAlignment="1" applyProtection="1">
      <alignment/>
      <protection/>
    </xf>
    <xf numFmtId="0" fontId="9" fillId="0" borderId="20" xfId="0" applyFont="1" applyBorder="1" applyAlignment="1">
      <alignment/>
    </xf>
    <xf numFmtId="0" fontId="8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9" fontId="9" fillId="0" borderId="16" xfId="0" applyNumberFormat="1" applyFont="1" applyBorder="1" applyAlignment="1">
      <alignment/>
    </xf>
    <xf numFmtId="179" fontId="9" fillId="0" borderId="20" xfId="0" applyNumberFormat="1" applyFont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48" xfId="0" applyFont="1" applyBorder="1" applyAlignment="1">
      <alignment/>
    </xf>
    <xf numFmtId="0" fontId="2" fillId="0" borderId="50" xfId="0" applyFont="1" applyFill="1" applyBorder="1" applyAlignment="1">
      <alignment/>
    </xf>
    <xf numFmtId="178" fontId="10" fillId="0" borderId="26" xfId="42" applyFont="1" applyBorder="1" applyAlignment="1">
      <alignment/>
    </xf>
    <xf numFmtId="0" fontId="9" fillId="0" borderId="51" xfId="0" applyFont="1" applyFill="1" applyBorder="1" applyAlignment="1">
      <alignment/>
    </xf>
    <xf numFmtId="179" fontId="5" fillId="0" borderId="43" xfId="42" applyNumberFormat="1" applyFont="1" applyFill="1" applyBorder="1" applyAlignment="1" applyProtection="1">
      <alignment/>
      <protection/>
    </xf>
    <xf numFmtId="0" fontId="5" fillId="0" borderId="16" xfId="0" applyFont="1" applyBorder="1" applyAlignment="1">
      <alignment/>
    </xf>
    <xf numFmtId="179" fontId="5" fillId="0" borderId="16" xfId="0" applyNumberFormat="1" applyFont="1" applyBorder="1" applyAlignment="1">
      <alignment/>
    </xf>
    <xf numFmtId="0" fontId="5" fillId="0" borderId="20" xfId="0" applyFont="1" applyBorder="1" applyAlignment="1">
      <alignment/>
    </xf>
    <xf numFmtId="179" fontId="5" fillId="0" borderId="20" xfId="0" applyNumberFormat="1" applyFont="1" applyBorder="1" applyAlignment="1">
      <alignment/>
    </xf>
    <xf numFmtId="0" fontId="1" fillId="0" borderId="17" xfId="0" applyFont="1" applyBorder="1" applyAlignment="1">
      <alignment/>
    </xf>
    <xf numFmtId="179" fontId="5" fillId="0" borderId="52" xfId="42" applyNumberFormat="1" applyFont="1" applyFill="1" applyBorder="1" applyAlignment="1" applyProtection="1">
      <alignment/>
      <protection/>
    </xf>
    <xf numFmtId="0" fontId="5" fillId="0" borderId="33" xfId="0" applyFont="1" applyBorder="1" applyAlignment="1">
      <alignment/>
    </xf>
    <xf numFmtId="0" fontId="1" fillId="0" borderId="21" xfId="0" applyFont="1" applyBorder="1" applyAlignment="1">
      <alignment/>
    </xf>
    <xf numFmtId="179" fontId="5" fillId="0" borderId="21" xfId="42" applyNumberFormat="1" applyFont="1" applyFill="1" applyBorder="1" applyAlignment="1" applyProtection="1">
      <alignment/>
      <protection/>
    </xf>
    <xf numFmtId="0" fontId="5" fillId="0" borderId="21" xfId="0" applyFont="1" applyBorder="1" applyAlignment="1">
      <alignment/>
    </xf>
    <xf numFmtId="179" fontId="5" fillId="0" borderId="21" xfId="0" applyNumberFormat="1" applyFont="1" applyBorder="1" applyAlignment="1">
      <alignment/>
    </xf>
    <xf numFmtId="178" fontId="1" fillId="0" borderId="28" xfId="42" applyFont="1" applyBorder="1" applyAlignment="1">
      <alignment/>
    </xf>
    <xf numFmtId="178" fontId="5" fillId="0" borderId="15" xfId="42" applyFont="1" applyFill="1" applyBorder="1" applyAlignment="1" applyProtection="1">
      <alignment/>
      <protection/>
    </xf>
    <xf numFmtId="178" fontId="5" fillId="0" borderId="53" xfId="42" applyFont="1" applyBorder="1" applyAlignment="1">
      <alignment/>
    </xf>
    <xf numFmtId="178" fontId="5" fillId="0" borderId="33" xfId="42" applyFont="1" applyBorder="1" applyAlignment="1">
      <alignment/>
    </xf>
    <xf numFmtId="178" fontId="21" fillId="0" borderId="21" xfId="42" applyFont="1" applyFill="1" applyBorder="1" applyAlignment="1" applyProtection="1">
      <alignment/>
      <protection/>
    </xf>
    <xf numFmtId="178" fontId="21" fillId="0" borderId="26" xfId="42" applyFont="1" applyBorder="1" applyAlignment="1">
      <alignment/>
    </xf>
    <xf numFmtId="178" fontId="21" fillId="0" borderId="21" xfId="42" applyFont="1" applyBorder="1" applyAlignment="1">
      <alignment/>
    </xf>
    <xf numFmtId="178" fontId="21" fillId="0" borderId="48" xfId="42" applyFont="1" applyBorder="1" applyAlignment="1">
      <alignment/>
    </xf>
    <xf numFmtId="178" fontId="1" fillId="0" borderId="54" xfId="42" applyFont="1" applyFill="1" applyBorder="1" applyAlignment="1" applyProtection="1">
      <alignment/>
      <protection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/>
    </xf>
    <xf numFmtId="178" fontId="1" fillId="0" borderId="17" xfId="42" applyFont="1" applyFill="1" applyBorder="1" applyAlignment="1" applyProtection="1">
      <alignment/>
      <protection/>
    </xf>
    <xf numFmtId="178" fontId="1" fillId="0" borderId="55" xfId="42" applyFont="1" applyBorder="1" applyAlignment="1">
      <alignment/>
    </xf>
    <xf numFmtId="178" fontId="1" fillId="0" borderId="57" xfId="42" applyFont="1" applyFill="1" applyBorder="1" applyAlignment="1" applyProtection="1">
      <alignment/>
      <protection/>
    </xf>
    <xf numFmtId="178" fontId="1" fillId="0" borderId="44" xfId="42" applyFont="1" applyFill="1" applyBorder="1" applyAlignment="1" applyProtection="1">
      <alignment/>
      <protection/>
    </xf>
    <xf numFmtId="178" fontId="1" fillId="0" borderId="58" xfId="42" applyFont="1" applyFill="1" applyBorder="1" applyAlignment="1" applyProtection="1">
      <alignment/>
      <protection/>
    </xf>
    <xf numFmtId="178" fontId="1" fillId="0" borderId="59" xfId="42" applyFont="1" applyFill="1" applyBorder="1" applyAlignment="1" applyProtection="1">
      <alignment/>
      <protection/>
    </xf>
    <xf numFmtId="0" fontId="9" fillId="0" borderId="60" xfId="0" applyFont="1" applyBorder="1" applyAlignment="1">
      <alignment/>
    </xf>
    <xf numFmtId="0" fontId="9" fillId="0" borderId="61" xfId="0" applyFont="1" applyBorder="1" applyAlignment="1" quotePrefix="1">
      <alignment/>
    </xf>
    <xf numFmtId="178" fontId="1" fillId="0" borderId="62" xfId="42" applyFont="1" applyBorder="1" applyAlignment="1">
      <alignment/>
    </xf>
    <xf numFmtId="178" fontId="1" fillId="0" borderId="63" xfId="42" applyFont="1" applyFill="1" applyBorder="1" applyAlignment="1" applyProtection="1">
      <alignment/>
      <protection/>
    </xf>
    <xf numFmtId="178" fontId="1" fillId="0" borderId="64" xfId="42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179" fontId="9" fillId="0" borderId="0" xfId="42" applyNumberFormat="1" applyFont="1" applyFill="1" applyBorder="1" applyAlignment="1" applyProtection="1">
      <alignment/>
      <protection/>
    </xf>
    <xf numFmtId="0" fontId="9" fillId="0" borderId="32" xfId="0" applyFont="1" applyBorder="1" applyAlignment="1">
      <alignment/>
    </xf>
    <xf numFmtId="179" fontId="9" fillId="0" borderId="32" xfId="0" applyNumberFormat="1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178" fontId="5" fillId="0" borderId="33" xfId="42" applyFont="1" applyFill="1" applyBorder="1" applyAlignment="1" applyProtection="1">
      <alignment/>
      <protection/>
    </xf>
    <xf numFmtId="178" fontId="5" fillId="0" borderId="21" xfId="42" applyFont="1" applyFill="1" applyBorder="1" applyAlignment="1" applyProtection="1">
      <alignment/>
      <protection/>
    </xf>
    <xf numFmtId="178" fontId="5" fillId="0" borderId="21" xfId="42" applyFont="1" applyBorder="1" applyAlignment="1">
      <alignment/>
    </xf>
    <xf numFmtId="0" fontId="9" fillId="0" borderId="67" xfId="0" applyFont="1" applyBorder="1" applyAlignment="1">
      <alignment/>
    </xf>
    <xf numFmtId="0" fontId="9" fillId="0" borderId="68" xfId="0" applyFont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69" xfId="0" applyFont="1" applyBorder="1" applyAlignment="1">
      <alignment/>
    </xf>
    <xf numFmtId="0" fontId="9" fillId="0" borderId="47" xfId="0" applyFont="1" applyBorder="1" applyAlignment="1">
      <alignment/>
    </xf>
    <xf numFmtId="178" fontId="1" fillId="0" borderId="70" xfId="42" applyFont="1" applyBorder="1" applyAlignment="1">
      <alignment/>
    </xf>
    <xf numFmtId="0" fontId="9" fillId="0" borderId="71" xfId="0" applyFont="1" applyBorder="1" applyAlignment="1">
      <alignment/>
    </xf>
    <xf numFmtId="0" fontId="9" fillId="0" borderId="44" xfId="0" applyFont="1" applyBorder="1" applyAlignment="1">
      <alignment/>
    </xf>
    <xf numFmtId="178" fontId="1" fillId="0" borderId="72" xfId="42" applyFont="1" applyBorder="1" applyAlignment="1">
      <alignment/>
    </xf>
    <xf numFmtId="178" fontId="1" fillId="0" borderId="73" xfId="42" applyFont="1" applyFill="1" applyBorder="1" applyAlignment="1" applyProtection="1">
      <alignment/>
      <protection/>
    </xf>
    <xf numFmtId="178" fontId="1" fillId="0" borderId="33" xfId="42" applyFont="1" applyFill="1" applyBorder="1" applyAlignment="1" applyProtection="1">
      <alignment/>
      <protection/>
    </xf>
    <xf numFmtId="178" fontId="1" fillId="0" borderId="74" xfId="42" applyFont="1" applyFill="1" applyBorder="1" applyAlignment="1" applyProtection="1">
      <alignment/>
      <protection/>
    </xf>
    <xf numFmtId="178" fontId="1" fillId="0" borderId="75" xfId="42" applyFont="1" applyFill="1" applyBorder="1" applyAlignment="1" applyProtection="1">
      <alignment/>
      <protection/>
    </xf>
    <xf numFmtId="0" fontId="9" fillId="0" borderId="76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46" xfId="0" applyFont="1" applyBorder="1" applyAlignment="1">
      <alignment/>
    </xf>
    <xf numFmtId="178" fontId="1" fillId="0" borderId="77" xfId="42" applyFont="1" applyFill="1" applyBorder="1" applyAlignment="1" applyProtection="1">
      <alignment/>
      <protection/>
    </xf>
    <xf numFmtId="0" fontId="9" fillId="0" borderId="7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178" fontId="1" fillId="0" borderId="16" xfId="42" applyFont="1" applyFill="1" applyBorder="1" applyAlignment="1" applyProtection="1">
      <alignment/>
      <protection/>
    </xf>
    <xf numFmtId="178" fontId="1" fillId="0" borderId="78" xfId="42" applyFont="1" applyBorder="1" applyAlignment="1">
      <alignment/>
    </xf>
    <xf numFmtId="178" fontId="1" fillId="0" borderId="18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0"/>
  <sheetViews>
    <sheetView tabSelected="1" zoomScale="110" zoomScaleNormal="110" zoomScalePageLayoutView="0" workbookViewId="0" topLeftCell="A1">
      <pane xSplit="2" ySplit="5" topLeftCell="C37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16384"/>
    </sheetView>
  </sheetViews>
  <sheetFormatPr defaultColWidth="9.00390625" defaultRowHeight="12.75"/>
  <cols>
    <col min="1" max="1" width="45.421875" style="1" customWidth="1"/>
    <col min="2" max="2" width="3.140625" style="1" customWidth="1"/>
    <col min="3" max="3" width="13.57421875" style="1" customWidth="1"/>
    <col min="4" max="4" width="12.00390625" style="1" customWidth="1"/>
    <col min="5" max="5" width="11.140625" style="1" customWidth="1"/>
    <col min="6" max="6" width="13.421875" style="1" customWidth="1"/>
    <col min="7" max="7" width="11.7109375" style="1" customWidth="1"/>
    <col min="8" max="8" width="11.140625" style="1" customWidth="1"/>
    <col min="9" max="9" width="14.421875" style="1" customWidth="1"/>
    <col min="10" max="10" width="14.7109375" style="1" customWidth="1"/>
    <col min="11" max="16384" width="9.00390625" style="1" customWidth="1"/>
  </cols>
  <sheetData>
    <row r="1" spans="1:9" ht="16.5">
      <c r="A1" s="2"/>
      <c r="B1" s="3" t="s">
        <v>240</v>
      </c>
      <c r="C1" s="3"/>
      <c r="D1" s="3"/>
      <c r="E1" s="3"/>
      <c r="F1" s="4"/>
      <c r="G1" s="4"/>
      <c r="H1" s="5"/>
      <c r="I1" s="6"/>
    </row>
    <row r="2" spans="1:9" ht="16.5">
      <c r="A2" s="2"/>
      <c r="B2" s="3" t="s">
        <v>0</v>
      </c>
      <c r="C2" s="3"/>
      <c r="D2" s="3"/>
      <c r="E2" s="3"/>
      <c r="F2" s="4"/>
      <c r="G2" s="7"/>
      <c r="H2" s="5"/>
      <c r="I2" s="6"/>
    </row>
    <row r="3" spans="1:9" ht="17.25" thickBot="1">
      <c r="A3" s="2"/>
      <c r="B3" s="3" t="s">
        <v>198</v>
      </c>
      <c r="C3" s="24"/>
      <c r="D3" s="24"/>
      <c r="E3" s="24"/>
      <c r="F3" s="7"/>
      <c r="G3" s="8"/>
      <c r="H3" s="9"/>
      <c r="I3" s="10"/>
    </row>
    <row r="4" spans="1:10" ht="15" thickBot="1">
      <c r="A4" s="2"/>
      <c r="B4" s="2"/>
      <c r="C4" s="29"/>
      <c r="D4" s="29"/>
      <c r="E4" s="27" t="s">
        <v>46</v>
      </c>
      <c r="F4" s="11" t="s">
        <v>42</v>
      </c>
      <c r="G4" s="12" t="s">
        <v>2</v>
      </c>
      <c r="H4" s="12" t="s">
        <v>3</v>
      </c>
      <c r="I4" s="12" t="s">
        <v>4</v>
      </c>
      <c r="J4" s="13"/>
    </row>
    <row r="5" spans="1:10" ht="20.25" thickBot="1">
      <c r="A5" s="43"/>
      <c r="B5" s="14"/>
      <c r="C5" s="26" t="s">
        <v>44</v>
      </c>
      <c r="D5" s="26" t="s">
        <v>45</v>
      </c>
      <c r="E5" s="28" t="s">
        <v>47</v>
      </c>
      <c r="F5" s="11" t="s">
        <v>1</v>
      </c>
      <c r="G5" s="15" t="s">
        <v>5</v>
      </c>
      <c r="H5" s="15" t="s">
        <v>6</v>
      </c>
      <c r="I5" s="15" t="s">
        <v>7</v>
      </c>
      <c r="J5" s="13"/>
    </row>
    <row r="6" spans="1:10" ht="20.25" thickBot="1">
      <c r="A6" s="43" t="s">
        <v>56</v>
      </c>
      <c r="B6" s="45"/>
      <c r="C6" s="26"/>
      <c r="D6" s="26"/>
      <c r="E6" s="46"/>
      <c r="F6" s="47"/>
      <c r="G6" s="47"/>
      <c r="H6" s="47"/>
      <c r="I6" s="143"/>
      <c r="J6" s="13"/>
    </row>
    <row r="7" spans="1:9" ht="13.5">
      <c r="A7" s="16" t="s">
        <v>8</v>
      </c>
      <c r="C7" s="103"/>
      <c r="D7" s="103"/>
      <c r="E7" s="103"/>
      <c r="F7" s="151">
        <f>SUM(C7:E7)</f>
        <v>0</v>
      </c>
      <c r="G7" s="152"/>
      <c r="H7" s="152"/>
      <c r="I7" s="153">
        <f>SUM(F7:H7)</f>
        <v>0</v>
      </c>
    </row>
    <row r="8" spans="1:9" ht="13.5">
      <c r="A8" s="135" t="s">
        <v>158</v>
      </c>
      <c r="B8" s="136"/>
      <c r="C8" s="103"/>
      <c r="D8" s="103"/>
      <c r="E8" s="103"/>
      <c r="F8" s="151">
        <f>SUM(C8:E8)</f>
        <v>0</v>
      </c>
      <c r="G8" s="154"/>
      <c r="H8" s="154"/>
      <c r="I8" s="155">
        <f>SUM(F8:H8)</f>
        <v>0</v>
      </c>
    </row>
    <row r="9" spans="1:9" ht="14.25" thickBot="1">
      <c r="A9" s="139" t="s">
        <v>159</v>
      </c>
      <c r="B9" s="140"/>
      <c r="C9" s="156"/>
      <c r="D9" s="163">
        <v>2184000</v>
      </c>
      <c r="E9" s="108"/>
      <c r="F9" s="164">
        <f>SUM(C9:E9)</f>
        <v>2184000</v>
      </c>
      <c r="G9" s="166"/>
      <c r="H9" s="166"/>
      <c r="I9" s="165">
        <f>SUM(F9:H9)</f>
        <v>2184000</v>
      </c>
    </row>
    <row r="10" spans="1:9" ht="15" thickBot="1">
      <c r="A10" s="141" t="s">
        <v>160</v>
      </c>
      <c r="B10" s="142"/>
      <c r="C10" s="159"/>
      <c r="D10" s="101">
        <f>SUM(D7:D9)</f>
        <v>2184000</v>
      </c>
      <c r="E10" s="149"/>
      <c r="F10" s="167">
        <f>SUM(C10:E10)</f>
        <v>2184000</v>
      </c>
      <c r="G10" s="168"/>
      <c r="H10" s="169"/>
      <c r="I10" s="170">
        <f>SUM(I7:I9)</f>
        <v>2184000</v>
      </c>
    </row>
    <row r="11" spans="1:9" ht="13.5">
      <c r="A11" s="135" t="s">
        <v>112</v>
      </c>
      <c r="B11" s="136"/>
      <c r="C11" s="25"/>
      <c r="D11" s="25"/>
      <c r="E11" s="25"/>
      <c r="F11" s="133"/>
      <c r="G11" s="138"/>
      <c r="H11" s="138"/>
      <c r="I11" s="138"/>
    </row>
    <row r="12" spans="1:10" ht="13.5">
      <c r="A12" s="137" t="s">
        <v>9</v>
      </c>
      <c r="B12" s="81" t="s">
        <v>10</v>
      </c>
      <c r="C12" s="98">
        <v>1250000</v>
      </c>
      <c r="D12" s="98">
        <v>1000000</v>
      </c>
      <c r="E12" s="98">
        <f>152800+48000</f>
        <v>200800</v>
      </c>
      <c r="F12" s="104">
        <f>SUM(C12:E12)</f>
        <v>2450800</v>
      </c>
      <c r="G12" s="113">
        <f>75000+31428</f>
        <v>106428</v>
      </c>
      <c r="H12" s="113">
        <v>150000</v>
      </c>
      <c r="I12" s="113">
        <f>SUM(F12:H12)</f>
        <v>2707228</v>
      </c>
      <c r="J12" s="13"/>
    </row>
    <row r="13" spans="1:10" ht="13.5">
      <c r="A13" s="18" t="s">
        <v>11</v>
      </c>
      <c r="B13" s="19"/>
      <c r="C13" s="98"/>
      <c r="D13" s="98"/>
      <c r="E13" s="98"/>
      <c r="F13" s="104">
        <f aca="true" t="shared" si="0" ref="F13:F35">SUM(C13:E13)</f>
        <v>0</v>
      </c>
      <c r="G13" s="105"/>
      <c r="H13" s="105"/>
      <c r="I13" s="105">
        <f aca="true" t="shared" si="1" ref="I13:I35">SUM(F13:H13)</f>
        <v>0</v>
      </c>
      <c r="J13" s="13"/>
    </row>
    <row r="14" spans="1:10" ht="13.5">
      <c r="A14" s="19" t="s">
        <v>12</v>
      </c>
      <c r="C14" s="98">
        <f>300000+500000</f>
        <v>800000</v>
      </c>
      <c r="D14" s="98">
        <f>1408702</f>
        <v>1408702</v>
      </c>
      <c r="E14" s="98">
        <v>217500</v>
      </c>
      <c r="F14" s="104">
        <f t="shared" si="0"/>
        <v>2426202</v>
      </c>
      <c r="G14" s="105">
        <f>50000+50691</f>
        <v>100691</v>
      </c>
      <c r="H14" s="105">
        <v>70000</v>
      </c>
      <c r="I14" s="105">
        <f t="shared" si="1"/>
        <v>2596893</v>
      </c>
      <c r="J14" s="13"/>
    </row>
    <row r="15" spans="1:10" ht="13.5">
      <c r="A15" s="18" t="s">
        <v>164</v>
      </c>
      <c r="B15" s="19"/>
      <c r="C15" s="98">
        <v>225755</v>
      </c>
      <c r="D15" s="98"/>
      <c r="E15" s="98"/>
      <c r="F15" s="104">
        <f t="shared" si="0"/>
        <v>225755</v>
      </c>
      <c r="G15" s="105"/>
      <c r="H15" s="105"/>
      <c r="I15" s="105">
        <f t="shared" si="1"/>
        <v>225755</v>
      </c>
      <c r="J15" s="13"/>
    </row>
    <row r="16" spans="1:10" ht="13.5">
      <c r="A16" s="18" t="s">
        <v>14</v>
      </c>
      <c r="B16" s="19"/>
      <c r="C16" s="98">
        <v>750000</v>
      </c>
      <c r="D16" s="98">
        <v>200000</v>
      </c>
      <c r="E16" s="98">
        <v>244000</v>
      </c>
      <c r="F16" s="104">
        <f t="shared" si="0"/>
        <v>1194000</v>
      </c>
      <c r="G16" s="105">
        <v>10000</v>
      </c>
      <c r="H16" s="105"/>
      <c r="I16" s="105">
        <f t="shared" si="1"/>
        <v>1204000</v>
      </c>
      <c r="J16" s="13"/>
    </row>
    <row r="17" spans="1:10" ht="13.5">
      <c r="A17" s="18" t="s">
        <v>15</v>
      </c>
      <c r="B17" s="19"/>
      <c r="C17" s="98">
        <v>2171629</v>
      </c>
      <c r="D17" s="98">
        <v>2373172</v>
      </c>
      <c r="E17" s="98">
        <v>664000</v>
      </c>
      <c r="F17" s="104">
        <f t="shared" si="0"/>
        <v>5208801</v>
      </c>
      <c r="G17" s="105">
        <f>85000+123832</f>
        <v>208832</v>
      </c>
      <c r="H17" s="105">
        <f>76000+258296</f>
        <v>334296</v>
      </c>
      <c r="I17" s="105">
        <f t="shared" si="1"/>
        <v>5751929</v>
      </c>
      <c r="J17" s="13"/>
    </row>
    <row r="18" spans="1:10" ht="13.5">
      <c r="A18" s="18" t="s">
        <v>16</v>
      </c>
      <c r="B18" s="19"/>
      <c r="C18" s="98">
        <v>1250000</v>
      </c>
      <c r="D18" s="98">
        <v>1000000</v>
      </c>
      <c r="E18" s="98">
        <v>142311</v>
      </c>
      <c r="F18" s="104">
        <f t="shared" si="0"/>
        <v>2392311</v>
      </c>
      <c r="G18" s="105">
        <v>316730</v>
      </c>
      <c r="H18" s="105">
        <v>423160</v>
      </c>
      <c r="I18" s="105">
        <f t="shared" si="1"/>
        <v>3132201</v>
      </c>
      <c r="J18" s="13"/>
    </row>
    <row r="19" spans="1:10" ht="13.5">
      <c r="A19" s="18" t="s">
        <v>17</v>
      </c>
      <c r="B19" s="19"/>
      <c r="C19" s="98">
        <v>300000</v>
      </c>
      <c r="D19" s="98"/>
      <c r="E19" s="98"/>
      <c r="F19" s="104">
        <f t="shared" si="0"/>
        <v>300000</v>
      </c>
      <c r="G19" s="105">
        <f>100000+34797.02</f>
        <v>134797.02</v>
      </c>
      <c r="H19" s="105">
        <v>120000</v>
      </c>
      <c r="I19" s="105">
        <f t="shared" si="1"/>
        <v>554797.02</v>
      </c>
      <c r="J19" s="13"/>
    </row>
    <row r="20" spans="1:10" ht="13.5">
      <c r="A20" s="18" t="s">
        <v>137</v>
      </c>
      <c r="B20" s="19"/>
      <c r="C20" s="98">
        <v>2500000</v>
      </c>
      <c r="D20" s="98">
        <v>900000</v>
      </c>
      <c r="E20" s="98">
        <v>350000</v>
      </c>
      <c r="F20" s="104">
        <f t="shared" si="0"/>
        <v>3750000</v>
      </c>
      <c r="G20" s="105">
        <f>150000+26000</f>
        <v>176000</v>
      </c>
      <c r="H20" s="105">
        <v>145000</v>
      </c>
      <c r="I20" s="105">
        <f t="shared" si="1"/>
        <v>4071000</v>
      </c>
      <c r="J20" s="13"/>
    </row>
    <row r="21" spans="1:10" ht="13.5">
      <c r="A21" s="18" t="s">
        <v>18</v>
      </c>
      <c r="B21" s="19"/>
      <c r="C21" s="98">
        <v>200000</v>
      </c>
      <c r="D21" s="98"/>
      <c r="E21" s="98">
        <f>52500+40000</f>
        <v>92500</v>
      </c>
      <c r="F21" s="104">
        <f t="shared" si="0"/>
        <v>292500</v>
      </c>
      <c r="G21" s="105">
        <v>53000</v>
      </c>
      <c r="H21" s="105">
        <v>60000</v>
      </c>
      <c r="I21" s="105">
        <f t="shared" si="1"/>
        <v>405500</v>
      </c>
      <c r="J21" s="13"/>
    </row>
    <row r="22" spans="1:10" ht="13.5">
      <c r="A22" s="18" t="s">
        <v>19</v>
      </c>
      <c r="B22" s="19"/>
      <c r="C22" s="98">
        <v>400000</v>
      </c>
      <c r="D22" s="98">
        <v>1175000</v>
      </c>
      <c r="E22" s="98"/>
      <c r="F22" s="104">
        <f t="shared" si="0"/>
        <v>1575000</v>
      </c>
      <c r="G22" s="105"/>
      <c r="H22" s="105">
        <v>50000</v>
      </c>
      <c r="I22" s="105">
        <f t="shared" si="1"/>
        <v>1625000</v>
      </c>
      <c r="J22" s="13"/>
    </row>
    <row r="23" spans="1:10" ht="13.5">
      <c r="A23" s="18" t="s">
        <v>20</v>
      </c>
      <c r="B23" s="19"/>
      <c r="C23" s="98">
        <v>200000</v>
      </c>
      <c r="D23" s="98">
        <v>300000</v>
      </c>
      <c r="E23" s="98"/>
      <c r="F23" s="104">
        <f t="shared" si="0"/>
        <v>500000</v>
      </c>
      <c r="G23" s="105"/>
      <c r="H23" s="105"/>
      <c r="I23" s="105">
        <f t="shared" si="1"/>
        <v>500000</v>
      </c>
      <c r="J23" s="13"/>
    </row>
    <row r="24" spans="1:10" ht="13.5">
      <c r="A24" s="18" t="s">
        <v>21</v>
      </c>
      <c r="B24" s="19"/>
      <c r="C24" s="98">
        <v>500000</v>
      </c>
      <c r="D24" s="98"/>
      <c r="E24" s="98"/>
      <c r="F24" s="104">
        <f t="shared" si="0"/>
        <v>500000</v>
      </c>
      <c r="G24" s="105"/>
      <c r="H24" s="105"/>
      <c r="I24" s="105">
        <f t="shared" si="1"/>
        <v>500000</v>
      </c>
      <c r="J24" s="13"/>
    </row>
    <row r="25" spans="1:10" ht="13.5">
      <c r="A25" s="18" t="s">
        <v>76</v>
      </c>
      <c r="B25" s="19"/>
      <c r="C25" s="98">
        <v>476000</v>
      </c>
      <c r="D25" s="98">
        <v>360000</v>
      </c>
      <c r="E25" s="98">
        <v>64000</v>
      </c>
      <c r="F25" s="104">
        <f t="shared" si="0"/>
        <v>900000</v>
      </c>
      <c r="G25" s="105"/>
      <c r="H25" s="105"/>
      <c r="I25" s="105">
        <f t="shared" si="1"/>
        <v>900000</v>
      </c>
      <c r="J25" s="13"/>
    </row>
    <row r="26" spans="1:10" ht="13.5">
      <c r="A26" s="18" t="s">
        <v>22</v>
      </c>
      <c r="B26" s="19"/>
      <c r="C26" s="98">
        <v>655283</v>
      </c>
      <c r="D26" s="98">
        <v>700000</v>
      </c>
      <c r="E26" s="98"/>
      <c r="F26" s="104">
        <f t="shared" si="0"/>
        <v>1355283</v>
      </c>
      <c r="G26" s="105"/>
      <c r="H26" s="105">
        <v>10000</v>
      </c>
      <c r="I26" s="105">
        <f t="shared" si="1"/>
        <v>1365283</v>
      </c>
      <c r="J26" s="13"/>
    </row>
    <row r="27" spans="1:10" ht="13.5">
      <c r="A27" s="18" t="s">
        <v>136</v>
      </c>
      <c r="B27" s="19"/>
      <c r="C27" s="98">
        <f>700000</f>
        <v>700000</v>
      </c>
      <c r="D27" s="98"/>
      <c r="E27" s="98"/>
      <c r="F27" s="104">
        <f t="shared" si="0"/>
        <v>700000</v>
      </c>
      <c r="G27" s="105"/>
      <c r="H27" s="105"/>
      <c r="I27" s="105">
        <f t="shared" si="1"/>
        <v>700000</v>
      </c>
      <c r="J27" s="13"/>
    </row>
    <row r="28" spans="1:10" ht="13.5">
      <c r="A28" s="18" t="s">
        <v>24</v>
      </c>
      <c r="B28" s="19"/>
      <c r="C28" s="98">
        <v>1389335</v>
      </c>
      <c r="D28" s="98">
        <v>3507840</v>
      </c>
      <c r="E28" s="98">
        <v>1470400</v>
      </c>
      <c r="F28" s="104">
        <f t="shared" si="0"/>
        <v>6367575</v>
      </c>
      <c r="G28" s="105"/>
      <c r="H28" s="105"/>
      <c r="I28" s="105">
        <f t="shared" si="1"/>
        <v>6367575</v>
      </c>
      <c r="J28" s="13"/>
    </row>
    <row r="29" spans="1:10" ht="13.5">
      <c r="A29" s="18" t="s">
        <v>25</v>
      </c>
      <c r="B29" s="19"/>
      <c r="C29" s="98">
        <v>450000</v>
      </c>
      <c r="D29" s="98">
        <v>150000</v>
      </c>
      <c r="E29" s="98">
        <v>100000</v>
      </c>
      <c r="F29" s="104">
        <f t="shared" si="0"/>
        <v>700000</v>
      </c>
      <c r="G29" s="105"/>
      <c r="H29" s="105"/>
      <c r="I29" s="105">
        <f t="shared" si="1"/>
        <v>700000</v>
      </c>
      <c r="J29" s="13"/>
    </row>
    <row r="30" spans="1:10" ht="13.5">
      <c r="A30" s="18" t="s">
        <v>82</v>
      </c>
      <c r="B30" s="19"/>
      <c r="C30" s="98">
        <v>3767560</v>
      </c>
      <c r="D30" s="98">
        <v>1760352</v>
      </c>
      <c r="E30" s="98">
        <v>2027896</v>
      </c>
      <c r="F30" s="104">
        <f t="shared" si="0"/>
        <v>7555808</v>
      </c>
      <c r="G30" s="105"/>
      <c r="H30" s="105"/>
      <c r="I30" s="105">
        <f t="shared" si="1"/>
        <v>7555808</v>
      </c>
      <c r="J30" s="13"/>
    </row>
    <row r="31" spans="1:10" ht="13.5">
      <c r="A31" s="18" t="s">
        <v>26</v>
      </c>
      <c r="B31" s="19"/>
      <c r="C31" s="98">
        <v>300000</v>
      </c>
      <c r="D31" s="98"/>
      <c r="E31" s="98">
        <v>150000</v>
      </c>
      <c r="F31" s="104">
        <f t="shared" si="0"/>
        <v>450000</v>
      </c>
      <c r="G31" s="106"/>
      <c r="H31" s="106"/>
      <c r="I31" s="105">
        <f t="shared" si="1"/>
        <v>450000</v>
      </c>
      <c r="J31" s="13"/>
    </row>
    <row r="32" spans="1:10" ht="13.5">
      <c r="A32" s="18" t="s">
        <v>27</v>
      </c>
      <c r="B32" s="19"/>
      <c r="C32" s="98">
        <v>50000</v>
      </c>
      <c r="D32" s="98"/>
      <c r="E32" s="98"/>
      <c r="F32" s="104">
        <f t="shared" si="0"/>
        <v>50000</v>
      </c>
      <c r="G32" s="106"/>
      <c r="H32" s="106">
        <v>10000</v>
      </c>
      <c r="I32" s="105">
        <f t="shared" si="1"/>
        <v>60000</v>
      </c>
      <c r="J32" s="13"/>
    </row>
    <row r="33" spans="1:10" ht="13.5">
      <c r="A33" s="18" t="s">
        <v>57</v>
      </c>
      <c r="B33" s="19"/>
      <c r="C33" s="107"/>
      <c r="D33" s="107"/>
      <c r="E33" s="107">
        <v>128786</v>
      </c>
      <c r="F33" s="104">
        <f t="shared" si="0"/>
        <v>128786</v>
      </c>
      <c r="G33" s="106"/>
      <c r="H33" s="106"/>
      <c r="I33" s="105">
        <f t="shared" si="1"/>
        <v>128786</v>
      </c>
      <c r="J33" s="13"/>
    </row>
    <row r="34" spans="1:10" ht="13.5">
      <c r="A34" s="18" t="s">
        <v>68</v>
      </c>
      <c r="B34" s="19"/>
      <c r="C34" s="107">
        <v>1000000</v>
      </c>
      <c r="D34" s="107"/>
      <c r="E34" s="107"/>
      <c r="F34" s="104">
        <f t="shared" si="0"/>
        <v>1000000</v>
      </c>
      <c r="G34" s="106"/>
      <c r="H34" s="106"/>
      <c r="I34" s="105">
        <f t="shared" si="1"/>
        <v>1000000</v>
      </c>
      <c r="J34" s="13"/>
    </row>
    <row r="35" spans="1:10" ht="14.25" thickBot="1">
      <c r="A35" s="18" t="s">
        <v>135</v>
      </c>
      <c r="B35" s="19"/>
      <c r="C35" s="108">
        <f>3028578+1942438.69</f>
        <v>4971016.6899999995</v>
      </c>
      <c r="D35" s="108">
        <v>1750000</v>
      </c>
      <c r="E35" s="108">
        <f>786589+232000+23000+94840</f>
        <v>1136429</v>
      </c>
      <c r="F35" s="104">
        <f t="shared" si="0"/>
        <v>7857445.6899999995</v>
      </c>
      <c r="G35" s="109">
        <v>379220</v>
      </c>
      <c r="H35" s="109">
        <v>31965</v>
      </c>
      <c r="I35" s="105">
        <f t="shared" si="1"/>
        <v>8268630.6899999995</v>
      </c>
      <c r="J35" s="13"/>
    </row>
    <row r="36" spans="1:10" ht="14.25" thickBot="1">
      <c r="A36" s="20" t="s">
        <v>161</v>
      </c>
      <c r="B36" s="19"/>
      <c r="C36" s="101">
        <f>SUM(C12:C35)</f>
        <v>24306578.689999998</v>
      </c>
      <c r="D36" s="101">
        <f>SUM(D12:D35)</f>
        <v>16585066</v>
      </c>
      <c r="E36" s="101">
        <f>SUM(E12:E35)</f>
        <v>6988622</v>
      </c>
      <c r="F36" s="110">
        <f>SUM(C36:E36)</f>
        <v>47880266.69</v>
      </c>
      <c r="G36" s="111">
        <f>SUM(G12:G35)</f>
        <v>1485698.02</v>
      </c>
      <c r="H36" s="111">
        <f>SUM(H12:H35)</f>
        <v>1404421</v>
      </c>
      <c r="I36" s="111">
        <f>SUM(F36:H36)</f>
        <v>50770385.71</v>
      </c>
      <c r="J36" s="13"/>
    </row>
    <row r="37" spans="1:10" ht="15">
      <c r="A37" s="21" t="s">
        <v>156</v>
      </c>
      <c r="B37" s="19"/>
      <c r="C37" s="100"/>
      <c r="D37" s="100"/>
      <c r="E37" s="100"/>
      <c r="F37" s="112">
        <f>SUM(C37:E37)</f>
        <v>0</v>
      </c>
      <c r="G37" s="105"/>
      <c r="H37" s="105"/>
      <c r="I37" s="113">
        <f>SUM(F37:H37)</f>
        <v>0</v>
      </c>
      <c r="J37" s="13"/>
    </row>
    <row r="38" spans="1:10" ht="13.5">
      <c r="A38" s="18" t="s">
        <v>30</v>
      </c>
      <c r="B38" s="19"/>
      <c r="C38" s="98"/>
      <c r="D38" s="98">
        <f>276900+12350</f>
        <v>289250</v>
      </c>
      <c r="E38" s="98"/>
      <c r="F38" s="104">
        <f>SUM(D38:E38)</f>
        <v>289250</v>
      </c>
      <c r="G38" s="105">
        <f>30000+38250</f>
        <v>68250</v>
      </c>
      <c r="H38" s="105">
        <f>6250+12500</f>
        <v>18750</v>
      </c>
      <c r="I38" s="105">
        <f>SUM(F38:H38)</f>
        <v>376250</v>
      </c>
      <c r="J38" s="13"/>
    </row>
    <row r="39" spans="1:10" ht="13.5">
      <c r="A39" s="18" t="s">
        <v>49</v>
      </c>
      <c r="B39" s="19"/>
      <c r="C39" s="98"/>
      <c r="D39" s="98">
        <f>1056039+440278.5</f>
        <v>1496317.5</v>
      </c>
      <c r="E39" s="98"/>
      <c r="F39" s="104">
        <f aca="true" t="shared" si="2" ref="F39:F94">SUM(D39:E39)</f>
        <v>1496317.5</v>
      </c>
      <c r="G39" s="105">
        <f>23000+7455</f>
        <v>30455</v>
      </c>
      <c r="H39" s="105">
        <f>30000+41143</f>
        <v>71143</v>
      </c>
      <c r="I39" s="105">
        <f aca="true" t="shared" si="3" ref="I39:I94">SUM(F39:H39)</f>
        <v>1597915.5</v>
      </c>
      <c r="J39" s="13"/>
    </row>
    <row r="40" spans="1:10" ht="13.5">
      <c r="A40" s="18" t="s">
        <v>50</v>
      </c>
      <c r="B40" s="19"/>
      <c r="C40" s="98"/>
      <c r="D40" s="98">
        <f>3718448.5+1611879.7</f>
        <v>5330328.2</v>
      </c>
      <c r="E40" s="98"/>
      <c r="F40" s="104">
        <f t="shared" si="2"/>
        <v>5330328.2</v>
      </c>
      <c r="G40" s="105">
        <f>100000+78726.23</f>
        <v>178726.22999999998</v>
      </c>
      <c r="H40" s="105">
        <f>158000+273048</f>
        <v>431048</v>
      </c>
      <c r="I40" s="105">
        <f t="shared" si="3"/>
        <v>5940102.43</v>
      </c>
      <c r="J40" s="13"/>
    </row>
    <row r="41" spans="1:10" ht="13.5">
      <c r="A41" s="18" t="s">
        <v>31</v>
      </c>
      <c r="B41" s="19"/>
      <c r="C41" s="98"/>
      <c r="D41" s="98">
        <f>498350+35350</f>
        <v>533700</v>
      </c>
      <c r="E41" s="98"/>
      <c r="F41" s="104">
        <f t="shared" si="2"/>
        <v>533700</v>
      </c>
      <c r="G41" s="105">
        <f>32730+38230</f>
        <v>70960</v>
      </c>
      <c r="H41" s="105">
        <f>5000+5000</f>
        <v>10000</v>
      </c>
      <c r="I41" s="105">
        <f t="shared" si="3"/>
        <v>614660</v>
      </c>
      <c r="J41" s="13"/>
    </row>
    <row r="42" spans="1:10" ht="13.5">
      <c r="A42" s="18" t="s">
        <v>32</v>
      </c>
      <c r="B42" s="19"/>
      <c r="C42" s="98"/>
      <c r="D42" s="98">
        <f>410620+17600</f>
        <v>428220</v>
      </c>
      <c r="E42" s="98"/>
      <c r="F42" s="104">
        <f t="shared" si="2"/>
        <v>428220</v>
      </c>
      <c r="G42" s="105">
        <f>20000+36500</f>
        <v>56500</v>
      </c>
      <c r="H42" s="105">
        <f>5000+30000</f>
        <v>35000</v>
      </c>
      <c r="I42" s="105">
        <f t="shared" si="3"/>
        <v>519720</v>
      </c>
      <c r="J42" s="13"/>
    </row>
    <row r="43" spans="1:10" ht="13.5">
      <c r="A43" s="18" t="s">
        <v>33</v>
      </c>
      <c r="B43" s="19"/>
      <c r="C43" s="98"/>
      <c r="D43" s="98">
        <f>2270522.5+113002</f>
        <v>2383524.5</v>
      </c>
      <c r="E43" s="98"/>
      <c r="F43" s="104">
        <f t="shared" si="2"/>
        <v>2383524.5</v>
      </c>
      <c r="G43" s="105">
        <f>50000+50000</f>
        <v>100000</v>
      </c>
      <c r="H43" s="105">
        <f>66000+101681</f>
        <v>167681</v>
      </c>
      <c r="I43" s="105">
        <f t="shared" si="3"/>
        <v>2651205.5</v>
      </c>
      <c r="J43" s="13"/>
    </row>
    <row r="44" spans="1:10" ht="13.5">
      <c r="A44" s="18" t="s">
        <v>34</v>
      </c>
      <c r="B44" s="19"/>
      <c r="C44" s="98"/>
      <c r="D44" s="98">
        <f>1909528.5+77484.96</f>
        <v>1987013.46</v>
      </c>
      <c r="E44" s="98"/>
      <c r="F44" s="104">
        <f t="shared" si="2"/>
        <v>1987013.46</v>
      </c>
      <c r="G44" s="106">
        <f>48000+78564</f>
        <v>126564</v>
      </c>
      <c r="H44" s="106">
        <f>21000+7629</f>
        <v>28629</v>
      </c>
      <c r="I44" s="105">
        <f t="shared" si="3"/>
        <v>2142206.46</v>
      </c>
      <c r="J44" s="13"/>
    </row>
    <row r="45" spans="1:9" ht="13.5">
      <c r="A45" s="18" t="s">
        <v>52</v>
      </c>
      <c r="B45" s="19"/>
      <c r="C45" s="98"/>
      <c r="D45" s="98">
        <f>1475340+60000</f>
        <v>1535340</v>
      </c>
      <c r="E45" s="98"/>
      <c r="F45" s="104">
        <f t="shared" si="2"/>
        <v>1535340</v>
      </c>
      <c r="G45" s="105">
        <f>20000+20000</f>
        <v>40000</v>
      </c>
      <c r="H45" s="105">
        <f>120000+226500</f>
        <v>346500</v>
      </c>
      <c r="I45" s="105">
        <f t="shared" si="3"/>
        <v>1921840</v>
      </c>
    </row>
    <row r="46" spans="1:9" ht="13.5">
      <c r="A46" s="18" t="s">
        <v>144</v>
      </c>
      <c r="B46" s="19"/>
      <c r="C46" s="98"/>
      <c r="D46" s="98">
        <f>427444+23114</f>
        <v>450558</v>
      </c>
      <c r="E46" s="98"/>
      <c r="F46" s="104">
        <f t="shared" si="2"/>
        <v>450558</v>
      </c>
      <c r="G46" s="105">
        <f>17980+20</f>
        <v>18000</v>
      </c>
      <c r="H46" s="105">
        <f>9000+18000</f>
        <v>27000</v>
      </c>
      <c r="I46" s="105">
        <f t="shared" si="3"/>
        <v>495558</v>
      </c>
    </row>
    <row r="47" spans="1:9" ht="13.5">
      <c r="A47" s="18" t="s">
        <v>36</v>
      </c>
      <c r="B47" s="19"/>
      <c r="C47" s="98"/>
      <c r="D47" s="98">
        <f>2087153.5+427832.06</f>
        <v>2514985.56</v>
      </c>
      <c r="E47" s="98"/>
      <c r="F47" s="104">
        <f t="shared" si="2"/>
        <v>2514985.56</v>
      </c>
      <c r="G47" s="105"/>
      <c r="H47" s="105"/>
      <c r="I47" s="105">
        <f t="shared" si="3"/>
        <v>2514985.56</v>
      </c>
    </row>
    <row r="48" spans="1:9" ht="13.5">
      <c r="A48" s="18" t="s">
        <v>37</v>
      </c>
      <c r="B48" s="19"/>
      <c r="C48" s="98"/>
      <c r="D48" s="98">
        <f>151107.5+16423</f>
        <v>167530.5</v>
      </c>
      <c r="E48" s="98"/>
      <c r="F48" s="104">
        <f t="shared" si="2"/>
        <v>167530.5</v>
      </c>
      <c r="G48" s="106"/>
      <c r="H48" s="106"/>
      <c r="I48" s="105">
        <f t="shared" si="3"/>
        <v>167530.5</v>
      </c>
    </row>
    <row r="49" spans="1:9" ht="13.5">
      <c r="A49" s="18" t="s">
        <v>38</v>
      </c>
      <c r="B49" s="19"/>
      <c r="C49" s="98"/>
      <c r="D49" s="98">
        <f>483225+296338.17+14312</f>
        <v>793875.1699999999</v>
      </c>
      <c r="E49" s="98"/>
      <c r="F49" s="104">
        <f t="shared" si="2"/>
        <v>793875.1699999999</v>
      </c>
      <c r="G49" s="106"/>
      <c r="H49" s="106">
        <f>4000+8000</f>
        <v>12000</v>
      </c>
      <c r="I49" s="105">
        <f t="shared" si="3"/>
        <v>805875.1699999999</v>
      </c>
    </row>
    <row r="50" spans="1:9" ht="13.5">
      <c r="A50" s="18" t="s">
        <v>58</v>
      </c>
      <c r="B50" s="19"/>
      <c r="C50" s="107"/>
      <c r="D50" s="107">
        <f>187706+32300</f>
        <v>220006</v>
      </c>
      <c r="E50" s="107"/>
      <c r="F50" s="104">
        <f t="shared" si="2"/>
        <v>220006</v>
      </c>
      <c r="G50" s="106"/>
      <c r="H50" s="106"/>
      <c r="I50" s="105">
        <f t="shared" si="3"/>
        <v>220006</v>
      </c>
    </row>
    <row r="51" spans="1:9" ht="13.5">
      <c r="A51" s="18" t="s">
        <v>59</v>
      </c>
      <c r="B51" s="19"/>
      <c r="C51" s="107"/>
      <c r="D51" s="107">
        <f>96544+80963</f>
        <v>177507</v>
      </c>
      <c r="E51" s="107"/>
      <c r="F51" s="104">
        <f t="shared" si="2"/>
        <v>177507</v>
      </c>
      <c r="G51" s="106"/>
      <c r="H51" s="106"/>
      <c r="I51" s="105">
        <f t="shared" si="3"/>
        <v>177507</v>
      </c>
    </row>
    <row r="52" spans="1:9" ht="13.5">
      <c r="A52" s="18" t="s">
        <v>165</v>
      </c>
      <c r="B52" s="19"/>
      <c r="C52" s="107"/>
      <c r="D52" s="107">
        <f>424000+50500</f>
        <v>474500</v>
      </c>
      <c r="E52" s="107"/>
      <c r="F52" s="104">
        <f t="shared" si="2"/>
        <v>474500</v>
      </c>
      <c r="G52" s="106">
        <v>83000</v>
      </c>
      <c r="H52" s="106">
        <f>250000+188631</f>
        <v>438631</v>
      </c>
      <c r="I52" s="105">
        <f t="shared" si="3"/>
        <v>996131</v>
      </c>
    </row>
    <row r="53" spans="1:9" ht="13.5">
      <c r="A53" s="18" t="s">
        <v>166</v>
      </c>
      <c r="B53" s="19"/>
      <c r="C53" s="107"/>
      <c r="D53" s="107">
        <v>158500</v>
      </c>
      <c r="E53" s="107"/>
      <c r="F53" s="104">
        <f t="shared" si="2"/>
        <v>158500</v>
      </c>
      <c r="G53" s="106"/>
      <c r="H53" s="106"/>
      <c r="I53" s="105">
        <f t="shared" si="3"/>
        <v>158500</v>
      </c>
    </row>
    <row r="54" spans="1:9" ht="13.5">
      <c r="A54" s="18" t="s">
        <v>148</v>
      </c>
      <c r="B54" s="19"/>
      <c r="C54" s="107"/>
      <c r="D54" s="107">
        <f>1207675+136967.43+210000</f>
        <v>1554642.43</v>
      </c>
      <c r="E54" s="107"/>
      <c r="F54" s="104">
        <f t="shared" si="2"/>
        <v>1554642.43</v>
      </c>
      <c r="G54" s="106"/>
      <c r="H54" s="106"/>
      <c r="I54" s="105">
        <f t="shared" si="3"/>
        <v>1554642.43</v>
      </c>
    </row>
    <row r="55" spans="1:9" ht="13.5">
      <c r="A55" s="18" t="s">
        <v>168</v>
      </c>
      <c r="B55" s="19"/>
      <c r="C55" s="107"/>
      <c r="D55" s="107">
        <f>696323+268594.34</f>
        <v>964917.3400000001</v>
      </c>
      <c r="E55" s="107"/>
      <c r="F55" s="104">
        <f t="shared" si="2"/>
        <v>964917.3400000001</v>
      </c>
      <c r="G55" s="106"/>
      <c r="H55" s="106"/>
      <c r="I55" s="105">
        <f t="shared" si="3"/>
        <v>964917.3400000001</v>
      </c>
    </row>
    <row r="56" spans="1:9" ht="13.5">
      <c r="A56" s="18" t="s">
        <v>172</v>
      </c>
      <c r="B56" s="19"/>
      <c r="C56" s="107"/>
      <c r="D56" s="107">
        <f>223804+40511</f>
        <v>264315</v>
      </c>
      <c r="E56" s="107"/>
      <c r="F56" s="104">
        <f t="shared" si="2"/>
        <v>264315</v>
      </c>
      <c r="G56" s="106"/>
      <c r="H56" s="106"/>
      <c r="I56" s="105">
        <f t="shared" si="3"/>
        <v>264315</v>
      </c>
    </row>
    <row r="57" spans="1:9" ht="13.5">
      <c r="A57" s="18" t="s">
        <v>115</v>
      </c>
      <c r="B57" s="19"/>
      <c r="C57" s="107"/>
      <c r="D57" s="107">
        <v>547026</v>
      </c>
      <c r="E57" s="107"/>
      <c r="F57" s="104">
        <f t="shared" si="2"/>
        <v>547026</v>
      </c>
      <c r="G57" s="106"/>
      <c r="H57" s="106"/>
      <c r="I57" s="105">
        <f t="shared" si="3"/>
        <v>547026</v>
      </c>
    </row>
    <row r="58" spans="1:9" ht="13.5">
      <c r="A58" s="18" t="s">
        <v>231</v>
      </c>
      <c r="B58" s="19"/>
      <c r="C58" s="107"/>
      <c r="D58" s="107">
        <v>40000</v>
      </c>
      <c r="E58" s="107"/>
      <c r="F58" s="104">
        <f t="shared" si="2"/>
        <v>40000</v>
      </c>
      <c r="G58" s="106"/>
      <c r="H58" s="106"/>
      <c r="I58" s="105">
        <f t="shared" si="3"/>
        <v>40000</v>
      </c>
    </row>
    <row r="59" spans="1:9" ht="13.5">
      <c r="A59" s="18" t="s">
        <v>63</v>
      </c>
      <c r="B59" s="19"/>
      <c r="C59" s="107"/>
      <c r="D59" s="107">
        <f>108728+5997.57</f>
        <v>114725.57</v>
      </c>
      <c r="E59" s="107"/>
      <c r="F59" s="104">
        <f t="shared" si="2"/>
        <v>114725.57</v>
      </c>
      <c r="G59" s="106"/>
      <c r="H59" s="106"/>
      <c r="I59" s="105">
        <f t="shared" si="3"/>
        <v>114725.57</v>
      </c>
    </row>
    <row r="60" spans="1:9" ht="13.5">
      <c r="A60" s="18" t="s">
        <v>64</v>
      </c>
      <c r="B60" s="19"/>
      <c r="C60" s="107"/>
      <c r="D60" s="107">
        <f>505650+50584.32</f>
        <v>556234.32</v>
      </c>
      <c r="E60" s="107"/>
      <c r="F60" s="104">
        <f t="shared" si="2"/>
        <v>556234.32</v>
      </c>
      <c r="G60" s="106"/>
      <c r="H60" s="106"/>
      <c r="I60" s="105">
        <f t="shared" si="3"/>
        <v>556234.32</v>
      </c>
    </row>
    <row r="61" spans="1:9" ht="13.5">
      <c r="A61" s="18" t="s">
        <v>77</v>
      </c>
      <c r="B61" s="19"/>
      <c r="C61" s="107"/>
      <c r="D61" s="107">
        <f>1342570+236984.53+848629.6</f>
        <v>2428184.13</v>
      </c>
      <c r="E61" s="107"/>
      <c r="F61" s="104">
        <f t="shared" si="2"/>
        <v>2428184.13</v>
      </c>
      <c r="G61" s="106"/>
      <c r="H61" s="106"/>
      <c r="I61" s="105">
        <f t="shared" si="3"/>
        <v>2428184.13</v>
      </c>
    </row>
    <row r="62" spans="1:9" ht="13.5">
      <c r="A62" s="18" t="s">
        <v>78</v>
      </c>
      <c r="B62" s="19"/>
      <c r="C62" s="107"/>
      <c r="D62" s="107">
        <f>967501.8+1003438.24</f>
        <v>1970940.04</v>
      </c>
      <c r="E62" s="107"/>
      <c r="F62" s="104">
        <f t="shared" si="2"/>
        <v>1970940.04</v>
      </c>
      <c r="G62" s="106"/>
      <c r="H62" s="106"/>
      <c r="I62" s="105">
        <f t="shared" si="3"/>
        <v>1970940.04</v>
      </c>
    </row>
    <row r="63" spans="1:9" ht="13.5">
      <c r="A63" s="18" t="s">
        <v>169</v>
      </c>
      <c r="B63" s="19"/>
      <c r="C63" s="107"/>
      <c r="D63" s="107">
        <v>306800</v>
      </c>
      <c r="E63" s="107"/>
      <c r="F63" s="104">
        <f t="shared" si="2"/>
        <v>306800</v>
      </c>
      <c r="G63" s="106"/>
      <c r="H63" s="106"/>
      <c r="I63" s="105">
        <f t="shared" si="3"/>
        <v>306800</v>
      </c>
    </row>
    <row r="64" spans="1:9" ht="13.5">
      <c r="A64" s="18" t="s">
        <v>170</v>
      </c>
      <c r="B64" s="19"/>
      <c r="C64" s="107"/>
      <c r="D64" s="107">
        <f>523175</f>
        <v>523175</v>
      </c>
      <c r="E64" s="107"/>
      <c r="F64" s="104">
        <f t="shared" si="2"/>
        <v>523175</v>
      </c>
      <c r="G64" s="106"/>
      <c r="H64" s="106"/>
      <c r="I64" s="105">
        <f t="shared" si="3"/>
        <v>523175</v>
      </c>
    </row>
    <row r="65" spans="1:9" ht="13.5">
      <c r="A65" s="18" t="s">
        <v>171</v>
      </c>
      <c r="B65" s="19"/>
      <c r="C65" s="107"/>
      <c r="D65" s="107">
        <f>412687+718732</f>
        <v>1131419</v>
      </c>
      <c r="E65" s="107"/>
      <c r="F65" s="104">
        <f t="shared" si="2"/>
        <v>1131419</v>
      </c>
      <c r="G65" s="106"/>
      <c r="H65" s="106"/>
      <c r="I65" s="105">
        <f t="shared" si="3"/>
        <v>1131419</v>
      </c>
    </row>
    <row r="66" spans="1:9" ht="13.5">
      <c r="A66" s="18" t="s">
        <v>222</v>
      </c>
      <c r="B66" s="19"/>
      <c r="C66" s="107"/>
      <c r="D66" s="107">
        <v>193921.75</v>
      </c>
      <c r="E66" s="107"/>
      <c r="F66" s="104">
        <f t="shared" si="2"/>
        <v>193921.75</v>
      </c>
      <c r="G66" s="106"/>
      <c r="H66" s="106"/>
      <c r="I66" s="105">
        <f t="shared" si="3"/>
        <v>193921.75</v>
      </c>
    </row>
    <row r="67" spans="1:9" ht="13.5">
      <c r="A67" s="18" t="s">
        <v>157</v>
      </c>
      <c r="B67" s="19"/>
      <c r="C67" s="107"/>
      <c r="D67" s="107">
        <f>28754+122616.5</f>
        <v>151370.5</v>
      </c>
      <c r="E67" s="107"/>
      <c r="F67" s="104">
        <f t="shared" si="2"/>
        <v>151370.5</v>
      </c>
      <c r="G67" s="106"/>
      <c r="H67" s="106"/>
      <c r="I67" s="105">
        <f t="shared" si="3"/>
        <v>151370.5</v>
      </c>
    </row>
    <row r="68" spans="1:9" ht="13.5">
      <c r="A68" s="18" t="s">
        <v>70</v>
      </c>
      <c r="B68" s="19"/>
      <c r="C68" s="107"/>
      <c r="D68" s="107">
        <f>193680.04+40999</f>
        <v>234679.04</v>
      </c>
      <c r="E68" s="107"/>
      <c r="F68" s="104">
        <f t="shared" si="2"/>
        <v>234679.04</v>
      </c>
      <c r="G68" s="106"/>
      <c r="H68" s="106"/>
      <c r="I68" s="105">
        <f t="shared" si="3"/>
        <v>234679.04</v>
      </c>
    </row>
    <row r="69" spans="1:9" ht="13.5">
      <c r="A69" s="18" t="s">
        <v>71</v>
      </c>
      <c r="B69" s="19"/>
      <c r="C69" s="107"/>
      <c r="D69" s="107">
        <f>545338.63+56390</f>
        <v>601728.63</v>
      </c>
      <c r="E69" s="107"/>
      <c r="F69" s="104">
        <f t="shared" si="2"/>
        <v>601728.63</v>
      </c>
      <c r="G69" s="106"/>
      <c r="H69" s="106"/>
      <c r="I69" s="105">
        <f t="shared" si="3"/>
        <v>601728.63</v>
      </c>
    </row>
    <row r="70" spans="1:9" ht="13.5">
      <c r="A70" s="173" t="s">
        <v>72</v>
      </c>
      <c r="B70" s="195"/>
      <c r="C70" s="107"/>
      <c r="D70" s="107">
        <f>9185616.44+957494.05</f>
        <v>10143110.49</v>
      </c>
      <c r="E70" s="107"/>
      <c r="F70" s="115">
        <f t="shared" si="2"/>
        <v>10143110.49</v>
      </c>
      <c r="G70" s="106"/>
      <c r="H70" s="106"/>
      <c r="I70" s="106">
        <f t="shared" si="3"/>
        <v>10143110.49</v>
      </c>
    </row>
    <row r="71" spans="1:9" ht="13.5">
      <c r="A71" s="197" t="s">
        <v>201</v>
      </c>
      <c r="B71" s="172"/>
      <c r="C71" s="98"/>
      <c r="D71" s="98">
        <v>345925.44</v>
      </c>
      <c r="E71" s="98"/>
      <c r="F71" s="115">
        <f t="shared" si="2"/>
        <v>345925.44</v>
      </c>
      <c r="G71" s="116"/>
      <c r="H71" s="116"/>
      <c r="I71" s="106">
        <f t="shared" si="3"/>
        <v>345925.44</v>
      </c>
    </row>
    <row r="72" spans="1:9" ht="13.5">
      <c r="A72" s="197" t="s">
        <v>202</v>
      </c>
      <c r="B72" s="172"/>
      <c r="C72" s="98"/>
      <c r="D72" s="98">
        <v>109029.94</v>
      </c>
      <c r="E72" s="98"/>
      <c r="F72" s="115">
        <f t="shared" si="2"/>
        <v>109029.94</v>
      </c>
      <c r="G72" s="116"/>
      <c r="H72" s="116"/>
      <c r="I72" s="106">
        <f t="shared" si="3"/>
        <v>109029.94</v>
      </c>
    </row>
    <row r="73" spans="1:9" ht="13.5">
      <c r="A73" s="197" t="s">
        <v>203</v>
      </c>
      <c r="B73" s="172"/>
      <c r="C73" s="98"/>
      <c r="D73" s="98"/>
      <c r="E73" s="98"/>
      <c r="F73" s="115">
        <f t="shared" si="2"/>
        <v>0</v>
      </c>
      <c r="G73" s="116"/>
      <c r="H73" s="116"/>
      <c r="I73" s="106">
        <f t="shared" si="3"/>
        <v>0</v>
      </c>
    </row>
    <row r="74" spans="1:9" ht="13.5">
      <c r="A74" s="197" t="s">
        <v>221</v>
      </c>
      <c r="B74" s="172"/>
      <c r="C74" s="98"/>
      <c r="D74" s="98"/>
      <c r="E74" s="98"/>
      <c r="F74" s="115">
        <f t="shared" si="2"/>
        <v>0</v>
      </c>
      <c r="G74" s="116"/>
      <c r="H74" s="116"/>
      <c r="I74" s="106">
        <f t="shared" si="3"/>
        <v>0</v>
      </c>
    </row>
    <row r="75" spans="1:9" ht="13.5">
      <c r="A75" s="197" t="s">
        <v>204</v>
      </c>
      <c r="B75" s="172"/>
      <c r="C75" s="98"/>
      <c r="D75" s="98"/>
      <c r="E75" s="98"/>
      <c r="F75" s="115">
        <f t="shared" si="2"/>
        <v>0</v>
      </c>
      <c r="G75" s="116"/>
      <c r="H75" s="116"/>
      <c r="I75" s="106">
        <f t="shared" si="3"/>
        <v>0</v>
      </c>
    </row>
    <row r="76" spans="1:9" ht="13.5">
      <c r="A76" s="197" t="s">
        <v>205</v>
      </c>
      <c r="B76" s="172"/>
      <c r="C76" s="98"/>
      <c r="D76" s="98">
        <v>14410</v>
      </c>
      <c r="E76" s="98"/>
      <c r="F76" s="115">
        <f t="shared" si="2"/>
        <v>14410</v>
      </c>
      <c r="G76" s="116"/>
      <c r="H76" s="116"/>
      <c r="I76" s="106">
        <f t="shared" si="3"/>
        <v>14410</v>
      </c>
    </row>
    <row r="77" spans="1:9" ht="13.5">
      <c r="A77" s="197" t="s">
        <v>206</v>
      </c>
      <c r="B77" s="172"/>
      <c r="C77" s="98"/>
      <c r="D77" s="98"/>
      <c r="E77" s="98"/>
      <c r="F77" s="115">
        <f t="shared" si="2"/>
        <v>0</v>
      </c>
      <c r="G77" s="116"/>
      <c r="H77" s="116"/>
      <c r="I77" s="106">
        <f t="shared" si="3"/>
        <v>0</v>
      </c>
    </row>
    <row r="78" spans="1:9" ht="13.5">
      <c r="A78" s="197" t="s">
        <v>207</v>
      </c>
      <c r="B78" s="172"/>
      <c r="C78" s="98"/>
      <c r="D78" s="98"/>
      <c r="E78" s="98"/>
      <c r="F78" s="115">
        <f t="shared" si="2"/>
        <v>0</v>
      </c>
      <c r="G78" s="116"/>
      <c r="H78" s="116"/>
      <c r="I78" s="106">
        <f t="shared" si="3"/>
        <v>0</v>
      </c>
    </row>
    <row r="79" spans="1:9" ht="13.5">
      <c r="A79" s="197" t="s">
        <v>208</v>
      </c>
      <c r="B79" s="172"/>
      <c r="C79" s="98"/>
      <c r="D79" s="98">
        <v>150500</v>
      </c>
      <c r="E79" s="98"/>
      <c r="F79" s="115">
        <f t="shared" si="2"/>
        <v>150500</v>
      </c>
      <c r="G79" s="116"/>
      <c r="H79" s="116"/>
      <c r="I79" s="106">
        <f t="shared" si="3"/>
        <v>150500</v>
      </c>
    </row>
    <row r="80" spans="1:9" ht="13.5">
      <c r="A80" s="197" t="s">
        <v>209</v>
      </c>
      <c r="B80" s="172"/>
      <c r="C80" s="98"/>
      <c r="D80" s="98">
        <v>3222207.37</v>
      </c>
      <c r="E80" s="98"/>
      <c r="F80" s="115">
        <f t="shared" si="2"/>
        <v>3222207.37</v>
      </c>
      <c r="G80" s="116"/>
      <c r="H80" s="116"/>
      <c r="I80" s="106">
        <f t="shared" si="3"/>
        <v>3222207.37</v>
      </c>
    </row>
    <row r="81" spans="1:9" ht="13.5">
      <c r="A81" s="197" t="s">
        <v>210</v>
      </c>
      <c r="B81" s="172"/>
      <c r="C81" s="98"/>
      <c r="D81" s="98">
        <v>338527.34</v>
      </c>
      <c r="E81" s="98"/>
      <c r="F81" s="115">
        <f t="shared" si="2"/>
        <v>338527.34</v>
      </c>
      <c r="G81" s="116"/>
      <c r="H81" s="116"/>
      <c r="I81" s="106">
        <f t="shared" si="3"/>
        <v>338527.34</v>
      </c>
    </row>
    <row r="82" spans="1:9" ht="13.5">
      <c r="A82" s="197" t="s">
        <v>211</v>
      </c>
      <c r="B82" s="172"/>
      <c r="C82" s="98"/>
      <c r="D82" s="98"/>
      <c r="E82" s="98"/>
      <c r="F82" s="115">
        <f t="shared" si="2"/>
        <v>0</v>
      </c>
      <c r="G82" s="116"/>
      <c r="H82" s="116"/>
      <c r="I82" s="106">
        <f t="shared" si="3"/>
        <v>0</v>
      </c>
    </row>
    <row r="83" spans="1:9" ht="13.5">
      <c r="A83" s="197" t="s">
        <v>212</v>
      </c>
      <c r="B83" s="172"/>
      <c r="C83" s="98"/>
      <c r="D83" s="98"/>
      <c r="E83" s="98"/>
      <c r="F83" s="115">
        <f t="shared" si="2"/>
        <v>0</v>
      </c>
      <c r="G83" s="116"/>
      <c r="H83" s="116"/>
      <c r="I83" s="106">
        <f t="shared" si="3"/>
        <v>0</v>
      </c>
    </row>
    <row r="84" spans="1:9" ht="13.5">
      <c r="A84" s="197" t="s">
        <v>213</v>
      </c>
      <c r="B84" s="172"/>
      <c r="C84" s="98"/>
      <c r="D84" s="98"/>
      <c r="E84" s="98"/>
      <c r="F84" s="115">
        <f t="shared" si="2"/>
        <v>0</v>
      </c>
      <c r="G84" s="116"/>
      <c r="H84" s="116"/>
      <c r="I84" s="106">
        <f t="shared" si="3"/>
        <v>0</v>
      </c>
    </row>
    <row r="85" spans="1:9" ht="13.5">
      <c r="A85" s="197" t="s">
        <v>214</v>
      </c>
      <c r="B85" s="172"/>
      <c r="C85" s="98"/>
      <c r="D85" s="98">
        <f>810732.04+687055.38</f>
        <v>1497787.42</v>
      </c>
      <c r="E85" s="98"/>
      <c r="F85" s="115">
        <f t="shared" si="2"/>
        <v>1497787.42</v>
      </c>
      <c r="G85" s="116"/>
      <c r="H85" s="116"/>
      <c r="I85" s="106">
        <f t="shared" si="3"/>
        <v>1497787.42</v>
      </c>
    </row>
    <row r="86" spans="1:9" ht="13.5">
      <c r="A86" s="197" t="s">
        <v>215</v>
      </c>
      <c r="B86" s="172"/>
      <c r="C86" s="98"/>
      <c r="D86" s="98">
        <v>1732297.55</v>
      </c>
      <c r="E86" s="98"/>
      <c r="F86" s="115">
        <f t="shared" si="2"/>
        <v>1732297.55</v>
      </c>
      <c r="G86" s="116"/>
      <c r="H86" s="116"/>
      <c r="I86" s="106">
        <f t="shared" si="3"/>
        <v>1732297.55</v>
      </c>
    </row>
    <row r="87" spans="1:9" ht="13.5">
      <c r="A87" s="197" t="s">
        <v>216</v>
      </c>
      <c r="B87" s="172"/>
      <c r="C87" s="98"/>
      <c r="D87" s="98">
        <v>296727.44</v>
      </c>
      <c r="E87" s="98"/>
      <c r="F87" s="115">
        <f t="shared" si="2"/>
        <v>296727.44</v>
      </c>
      <c r="G87" s="116"/>
      <c r="H87" s="116"/>
      <c r="I87" s="106">
        <f t="shared" si="3"/>
        <v>296727.44</v>
      </c>
    </row>
    <row r="88" spans="1:9" ht="13.5">
      <c r="A88" s="197" t="s">
        <v>217</v>
      </c>
      <c r="B88" s="172"/>
      <c r="C88" s="98"/>
      <c r="D88" s="98">
        <v>3464.35</v>
      </c>
      <c r="E88" s="98"/>
      <c r="F88" s="115">
        <f t="shared" si="2"/>
        <v>3464.35</v>
      </c>
      <c r="G88" s="116"/>
      <c r="H88" s="116"/>
      <c r="I88" s="106">
        <f t="shared" si="3"/>
        <v>3464.35</v>
      </c>
    </row>
    <row r="89" spans="1:9" ht="13.5">
      <c r="A89" s="197" t="s">
        <v>218</v>
      </c>
      <c r="B89" s="172"/>
      <c r="C89" s="98"/>
      <c r="D89" s="98"/>
      <c r="E89" s="98"/>
      <c r="F89" s="115">
        <f t="shared" si="2"/>
        <v>0</v>
      </c>
      <c r="G89" s="116"/>
      <c r="H89" s="116"/>
      <c r="I89" s="106">
        <f t="shared" si="3"/>
        <v>0</v>
      </c>
    </row>
    <row r="90" spans="1:9" ht="13.5">
      <c r="A90" s="197" t="s">
        <v>219</v>
      </c>
      <c r="B90" s="172"/>
      <c r="C90" s="98"/>
      <c r="D90" s="98"/>
      <c r="E90" s="98"/>
      <c r="F90" s="115">
        <f t="shared" si="2"/>
        <v>0</v>
      </c>
      <c r="G90" s="116"/>
      <c r="H90" s="116"/>
      <c r="I90" s="106">
        <f t="shared" si="3"/>
        <v>0</v>
      </c>
    </row>
    <row r="91" spans="1:9" ht="13.5">
      <c r="A91" s="197" t="s">
        <v>220</v>
      </c>
      <c r="B91" s="172"/>
      <c r="C91" s="98"/>
      <c r="D91" s="98">
        <v>1342695.28</v>
      </c>
      <c r="E91" s="98"/>
      <c r="F91" s="179">
        <f t="shared" si="2"/>
        <v>1342695.28</v>
      </c>
      <c r="G91" s="116"/>
      <c r="H91" s="116"/>
      <c r="I91" s="203">
        <f t="shared" si="3"/>
        <v>1342695.28</v>
      </c>
    </row>
    <row r="92" spans="1:9" ht="13.5">
      <c r="A92" s="207" t="s">
        <v>236</v>
      </c>
      <c r="B92" s="211"/>
      <c r="C92" s="107"/>
      <c r="D92" s="107">
        <v>110000</v>
      </c>
      <c r="E92" s="107"/>
      <c r="F92" s="116">
        <f t="shared" si="2"/>
        <v>110000</v>
      </c>
      <c r="G92" s="116"/>
      <c r="H92" s="116"/>
      <c r="I92" s="116">
        <f t="shared" si="3"/>
        <v>110000</v>
      </c>
    </row>
    <row r="93" spans="1:9" ht="13.5">
      <c r="A93" s="207" t="s">
        <v>246</v>
      </c>
      <c r="B93" s="211"/>
      <c r="C93" s="107"/>
      <c r="D93" s="107">
        <v>17000000</v>
      </c>
      <c r="E93" s="107"/>
      <c r="F93" s="116">
        <f t="shared" si="2"/>
        <v>17000000</v>
      </c>
      <c r="G93" s="116"/>
      <c r="H93" s="116"/>
      <c r="I93" s="116">
        <f t="shared" si="3"/>
        <v>17000000</v>
      </c>
    </row>
    <row r="94" spans="1:9" ht="14.25" thickBot="1">
      <c r="A94" s="209" t="s">
        <v>232</v>
      </c>
      <c r="B94" s="198"/>
      <c r="C94" s="108"/>
      <c r="D94" s="108">
        <v>298050.5</v>
      </c>
      <c r="E94" s="108"/>
      <c r="F94" s="204">
        <f t="shared" si="2"/>
        <v>298050.5</v>
      </c>
      <c r="G94" s="204"/>
      <c r="H94" s="204"/>
      <c r="I94" s="210">
        <f t="shared" si="3"/>
        <v>298050.5</v>
      </c>
    </row>
    <row r="95" spans="1:10" ht="14.25" thickBot="1">
      <c r="A95" s="150" t="s">
        <v>39</v>
      </c>
      <c r="B95" s="208"/>
      <c r="C95" s="90"/>
      <c r="D95" s="99">
        <f aca="true" t="shared" si="4" ref="D95:I95">SUM(D38:D94)</f>
        <v>67129967.75999999</v>
      </c>
      <c r="E95" s="99">
        <f t="shared" si="4"/>
        <v>0</v>
      </c>
      <c r="F95" s="99">
        <f t="shared" si="4"/>
        <v>67129967.75999999</v>
      </c>
      <c r="G95" s="99">
        <f t="shared" si="4"/>
        <v>772455.23</v>
      </c>
      <c r="H95" s="99">
        <f t="shared" si="4"/>
        <v>1586382</v>
      </c>
      <c r="I95" s="99">
        <f t="shared" si="4"/>
        <v>69488804.98999998</v>
      </c>
      <c r="J95" s="13"/>
    </row>
    <row r="96" spans="1:10" ht="14.25" thickBot="1">
      <c r="A96" s="196" t="s">
        <v>162</v>
      </c>
      <c r="B96" s="81"/>
      <c r="C96" s="99">
        <f aca="true" t="shared" si="5" ref="C96:I96">SUM(C95+C36+C10)</f>
        <v>24306578.689999998</v>
      </c>
      <c r="D96" s="99">
        <f t="shared" si="5"/>
        <v>85899033.75999999</v>
      </c>
      <c r="E96" s="99">
        <f t="shared" si="5"/>
        <v>6988622</v>
      </c>
      <c r="F96" s="99">
        <f t="shared" si="5"/>
        <v>117194234.44999999</v>
      </c>
      <c r="G96" s="99">
        <f t="shared" si="5"/>
        <v>2258153.25</v>
      </c>
      <c r="H96" s="99">
        <f t="shared" si="5"/>
        <v>2990803</v>
      </c>
      <c r="I96" s="99">
        <f t="shared" si="5"/>
        <v>122443190.69999999</v>
      </c>
      <c r="J96" s="13"/>
    </row>
    <row r="97" spans="1:10" ht="15">
      <c r="A97" s="21" t="s">
        <v>40</v>
      </c>
      <c r="B97" s="19"/>
      <c r="C97" s="100"/>
      <c r="D97" s="100"/>
      <c r="E97" s="100"/>
      <c r="F97" s="112"/>
      <c r="G97" s="113"/>
      <c r="H97" s="113"/>
      <c r="I97" s="113">
        <f aca="true" t="shared" si="6" ref="I97:I102">SUM(F97:H97)</f>
        <v>0</v>
      </c>
      <c r="J97" s="13"/>
    </row>
    <row r="98" spans="1:10" ht="13.5">
      <c r="A98" s="20" t="s">
        <v>41</v>
      </c>
      <c r="B98" s="19"/>
      <c r="C98" s="98"/>
      <c r="D98" s="98"/>
      <c r="E98" s="98"/>
      <c r="F98" s="104">
        <f>SUM(C98:E98)</f>
        <v>0</v>
      </c>
      <c r="G98" s="105"/>
      <c r="H98" s="105"/>
      <c r="I98" s="105">
        <f t="shared" si="6"/>
        <v>0</v>
      </c>
      <c r="J98" s="13"/>
    </row>
    <row r="99" spans="1:10" ht="13.5">
      <c r="A99" s="31" t="s">
        <v>116</v>
      </c>
      <c r="B99" s="19"/>
      <c r="C99" s="107"/>
      <c r="D99" s="107"/>
      <c r="E99" s="107"/>
      <c r="F99" s="104">
        <f>SUM(C99:E99)</f>
        <v>0</v>
      </c>
      <c r="G99" s="106"/>
      <c r="H99" s="106">
        <f>100000+200000</f>
        <v>300000</v>
      </c>
      <c r="I99" s="106">
        <f t="shared" si="6"/>
        <v>300000</v>
      </c>
      <c r="J99" s="13"/>
    </row>
    <row r="100" spans="1:9" ht="13.5">
      <c r="A100" s="31" t="s">
        <v>174</v>
      </c>
      <c r="B100" s="19"/>
      <c r="C100" s="98">
        <v>600000</v>
      </c>
      <c r="D100" s="98"/>
      <c r="E100" s="98"/>
      <c r="F100" s="104">
        <f>SUM(C100:E100)</f>
        <v>600000</v>
      </c>
      <c r="G100" s="116">
        <f>80270+80270</f>
        <v>160540</v>
      </c>
      <c r="H100" s="116">
        <f>100000+100000</f>
        <v>200000</v>
      </c>
      <c r="I100" s="106">
        <f t="shared" si="6"/>
        <v>960540</v>
      </c>
    </row>
    <row r="101" spans="1:9" ht="13.5">
      <c r="A101" s="31" t="s">
        <v>185</v>
      </c>
      <c r="B101" s="19"/>
      <c r="C101" s="98">
        <v>118423.97</v>
      </c>
      <c r="D101" s="98"/>
      <c r="E101" s="98"/>
      <c r="F101" s="104">
        <f>SUM(C101:E101)</f>
        <v>118423.97</v>
      </c>
      <c r="G101" s="116"/>
      <c r="H101" s="116"/>
      <c r="I101" s="106">
        <f t="shared" si="6"/>
        <v>118423.97</v>
      </c>
    </row>
    <row r="102" spans="1:9" ht="14.25" thickBot="1">
      <c r="A102" s="31" t="s">
        <v>186</v>
      </c>
      <c r="B102" s="19"/>
      <c r="C102" s="98">
        <v>974722.07</v>
      </c>
      <c r="D102" s="98"/>
      <c r="E102" s="98"/>
      <c r="F102" s="104">
        <f>SUM(C102:E102)</f>
        <v>974722.07</v>
      </c>
      <c r="G102" s="116"/>
      <c r="H102" s="116"/>
      <c r="I102" s="106">
        <f t="shared" si="6"/>
        <v>974722.07</v>
      </c>
    </row>
    <row r="103" spans="1:10" ht="14.25" thickBot="1">
      <c r="A103" s="18" t="s">
        <v>42</v>
      </c>
      <c r="B103" s="19"/>
      <c r="C103" s="101">
        <f aca="true" t="shared" si="7" ref="C103:I103">SUM(C98:C102)</f>
        <v>1693146.04</v>
      </c>
      <c r="D103" s="101">
        <f t="shared" si="7"/>
        <v>0</v>
      </c>
      <c r="E103" s="101">
        <f t="shared" si="7"/>
        <v>0</v>
      </c>
      <c r="F103" s="101">
        <f t="shared" si="7"/>
        <v>1693146.04</v>
      </c>
      <c r="G103" s="101">
        <f t="shared" si="7"/>
        <v>160540</v>
      </c>
      <c r="H103" s="101">
        <f t="shared" si="7"/>
        <v>500000</v>
      </c>
      <c r="I103" s="101">
        <f t="shared" si="7"/>
        <v>2353686.04</v>
      </c>
      <c r="J103" s="13"/>
    </row>
    <row r="104" spans="1:10" ht="13.5">
      <c r="A104" s="18" t="s">
        <v>43</v>
      </c>
      <c r="B104" s="19"/>
      <c r="C104" s="88"/>
      <c r="D104" s="88"/>
      <c r="E104" s="88"/>
      <c r="F104" s="118">
        <f aca="true" t="shared" si="8" ref="F104:F116">SUM(C104:E104)</f>
        <v>0</v>
      </c>
      <c r="G104" s="119"/>
      <c r="H104" s="119"/>
      <c r="I104" s="119">
        <f aca="true" t="shared" si="9" ref="I104:I116">SUM(F104:H104)</f>
        <v>0</v>
      </c>
      <c r="J104" s="13"/>
    </row>
    <row r="105" spans="1:9" ht="13.5">
      <c r="A105" s="30" t="s">
        <v>175</v>
      </c>
      <c r="B105" s="19"/>
      <c r="C105" s="98">
        <v>300000</v>
      </c>
      <c r="D105" s="98"/>
      <c r="E105" s="98"/>
      <c r="F105" s="115">
        <f t="shared" si="8"/>
        <v>300000</v>
      </c>
      <c r="G105" s="116"/>
      <c r="H105" s="116"/>
      <c r="I105" s="106">
        <f t="shared" si="9"/>
        <v>300000</v>
      </c>
    </row>
    <row r="106" spans="1:9" ht="13.5">
      <c r="A106" s="30" t="s">
        <v>176</v>
      </c>
      <c r="B106" s="19"/>
      <c r="C106" s="98"/>
      <c r="D106" s="98">
        <v>600000</v>
      </c>
      <c r="E106" s="98"/>
      <c r="F106" s="115">
        <f t="shared" si="8"/>
        <v>600000</v>
      </c>
      <c r="G106" s="116"/>
      <c r="H106" s="116"/>
      <c r="I106" s="106">
        <f t="shared" si="9"/>
        <v>600000</v>
      </c>
    </row>
    <row r="107" spans="1:9" ht="13.5">
      <c r="A107" s="30" t="s">
        <v>177</v>
      </c>
      <c r="B107" s="19"/>
      <c r="C107" s="98"/>
      <c r="D107" s="98">
        <v>600000</v>
      </c>
      <c r="E107" s="98"/>
      <c r="F107" s="115">
        <f t="shared" si="8"/>
        <v>600000</v>
      </c>
      <c r="G107" s="116"/>
      <c r="H107" s="116"/>
      <c r="I107" s="106">
        <f t="shared" si="9"/>
        <v>600000</v>
      </c>
    </row>
    <row r="108" spans="1:9" ht="13.5">
      <c r="A108" s="30" t="s">
        <v>178</v>
      </c>
      <c r="B108" s="19"/>
      <c r="C108" s="98">
        <v>762000</v>
      </c>
      <c r="D108" s="98"/>
      <c r="E108" s="98"/>
      <c r="F108" s="115">
        <f t="shared" si="8"/>
        <v>762000</v>
      </c>
      <c r="G108" s="117"/>
      <c r="H108" s="117"/>
      <c r="I108" s="106">
        <f t="shared" si="9"/>
        <v>762000</v>
      </c>
    </row>
    <row r="109" spans="1:9" ht="13.5">
      <c r="A109" s="18" t="s">
        <v>180</v>
      </c>
      <c r="B109" s="19"/>
      <c r="C109" s="98"/>
      <c r="D109" s="98"/>
      <c r="E109" s="98"/>
      <c r="F109" s="115">
        <f t="shared" si="8"/>
        <v>0</v>
      </c>
      <c r="G109" s="117"/>
      <c r="H109" s="117">
        <f>200000+200000</f>
        <v>400000</v>
      </c>
      <c r="I109" s="106">
        <f t="shared" si="9"/>
        <v>400000</v>
      </c>
    </row>
    <row r="110" spans="1:9" ht="13.5">
      <c r="A110" s="30" t="s">
        <v>188</v>
      </c>
      <c r="B110" s="19"/>
      <c r="C110" s="98"/>
      <c r="D110" s="98">
        <v>61295.39</v>
      </c>
      <c r="E110" s="98"/>
      <c r="F110" s="115">
        <f t="shared" si="8"/>
        <v>61295.39</v>
      </c>
      <c r="G110" s="116"/>
      <c r="H110" s="116"/>
      <c r="I110" s="106">
        <f t="shared" si="9"/>
        <v>61295.39</v>
      </c>
    </row>
    <row r="111" spans="1:9" ht="13.5">
      <c r="A111" s="30" t="s">
        <v>189</v>
      </c>
      <c r="B111" s="19"/>
      <c r="C111" s="98"/>
      <c r="D111" s="98">
        <v>400000</v>
      </c>
      <c r="E111" s="98"/>
      <c r="F111" s="115">
        <f t="shared" si="8"/>
        <v>400000</v>
      </c>
      <c r="G111" s="116"/>
      <c r="H111" s="116"/>
      <c r="I111" s="106">
        <f t="shared" si="9"/>
        <v>400000</v>
      </c>
    </row>
    <row r="112" spans="1:9" ht="13.5">
      <c r="A112" s="30" t="s">
        <v>190</v>
      </c>
      <c r="B112" s="19"/>
      <c r="C112" s="98"/>
      <c r="D112" s="98">
        <v>300000</v>
      </c>
      <c r="E112" s="98"/>
      <c r="F112" s="115">
        <f t="shared" si="8"/>
        <v>300000</v>
      </c>
      <c r="G112" s="116"/>
      <c r="H112" s="116"/>
      <c r="I112" s="106">
        <f t="shared" si="9"/>
        <v>300000</v>
      </c>
    </row>
    <row r="113" spans="1:9" ht="13.5">
      <c r="A113" s="30" t="s">
        <v>191</v>
      </c>
      <c r="B113" s="19"/>
      <c r="C113" s="98"/>
      <c r="D113" s="98">
        <v>400000</v>
      </c>
      <c r="E113" s="98"/>
      <c r="F113" s="176">
        <f t="shared" si="8"/>
        <v>400000</v>
      </c>
      <c r="G113" s="116"/>
      <c r="H113" s="116"/>
      <c r="I113" s="115">
        <f t="shared" si="9"/>
        <v>400000</v>
      </c>
    </row>
    <row r="114" spans="1:9" ht="13.5">
      <c r="A114" s="30" t="s">
        <v>192</v>
      </c>
      <c r="B114" s="19"/>
      <c r="C114" s="100"/>
      <c r="D114" s="100">
        <v>900000</v>
      </c>
      <c r="E114" s="100"/>
      <c r="F114" s="176">
        <f t="shared" si="8"/>
        <v>900000</v>
      </c>
      <c r="G114" s="116"/>
      <c r="H114" s="116"/>
      <c r="I114" s="178">
        <f t="shared" si="9"/>
        <v>900000</v>
      </c>
    </row>
    <row r="115" spans="1:9" ht="13.5">
      <c r="A115" s="30" t="s">
        <v>194</v>
      </c>
      <c r="B115" s="19"/>
      <c r="C115" s="98">
        <v>634169.09</v>
      </c>
      <c r="D115" s="98"/>
      <c r="E115" s="98"/>
      <c r="F115" s="179">
        <f t="shared" si="8"/>
        <v>634169.09</v>
      </c>
      <c r="G115" s="116"/>
      <c r="H115" s="116"/>
      <c r="I115" s="178">
        <f t="shared" si="9"/>
        <v>634169.09</v>
      </c>
    </row>
    <row r="116" spans="1:9" ht="14.25" thickBot="1">
      <c r="A116" s="30" t="s">
        <v>193</v>
      </c>
      <c r="B116" s="19"/>
      <c r="C116" s="88">
        <v>400000</v>
      </c>
      <c r="D116" s="88"/>
      <c r="E116" s="88"/>
      <c r="F116" s="177">
        <f t="shared" si="8"/>
        <v>400000</v>
      </c>
      <c r="G116" s="174"/>
      <c r="H116" s="174"/>
      <c r="I116" s="178">
        <f t="shared" si="9"/>
        <v>400000</v>
      </c>
    </row>
    <row r="117" spans="1:10" ht="14.25" thickBot="1">
      <c r="A117" s="18" t="s">
        <v>42</v>
      </c>
      <c r="B117" s="19"/>
      <c r="C117" s="101">
        <f aca="true" t="shared" si="10" ref="C117:I117">SUM(C105:C116)</f>
        <v>2096169.0899999999</v>
      </c>
      <c r="D117" s="101">
        <f t="shared" si="10"/>
        <v>3261295.3899999997</v>
      </c>
      <c r="E117" s="101">
        <f t="shared" si="10"/>
        <v>0</v>
      </c>
      <c r="F117" s="101">
        <f t="shared" si="10"/>
        <v>5357464.48</v>
      </c>
      <c r="G117" s="101">
        <f t="shared" si="10"/>
        <v>0</v>
      </c>
      <c r="H117" s="101">
        <f t="shared" si="10"/>
        <v>400000</v>
      </c>
      <c r="I117" s="101">
        <f t="shared" si="10"/>
        <v>5757464.48</v>
      </c>
      <c r="J117" s="13"/>
    </row>
    <row r="118" spans="1:10" ht="14.25" thickBot="1">
      <c r="A118" s="173" t="s">
        <v>48</v>
      </c>
      <c r="B118" s="180"/>
      <c r="C118" s="88">
        <f>1650000+515988.86</f>
        <v>2165988.86</v>
      </c>
      <c r="D118" s="88">
        <f>1200000+61682.03</f>
        <v>1261682.03</v>
      </c>
      <c r="E118" s="182">
        <v>991357.19</v>
      </c>
      <c r="F118" s="118">
        <f>SUM(C118:E118)</f>
        <v>4419028.08</v>
      </c>
      <c r="G118" s="119">
        <f>140420+194200</f>
        <v>334620</v>
      </c>
      <c r="H118" s="119">
        <f>150000+300000</f>
        <v>450000</v>
      </c>
      <c r="I118" s="183">
        <f>SUM(F118:H118)</f>
        <v>5203648.08</v>
      </c>
      <c r="J118" s="13"/>
    </row>
    <row r="119" spans="1:10" ht="14.25" thickBot="1">
      <c r="A119" s="82" t="s">
        <v>117</v>
      </c>
      <c r="B119" s="83"/>
      <c r="C119" s="92">
        <f>SUM(C118+C117+C103)</f>
        <v>5955303.989999999</v>
      </c>
      <c r="D119" s="92">
        <f aca="true" t="shared" si="11" ref="D119:I119">SUM(D118+D117+D103)</f>
        <v>4522977.42</v>
      </c>
      <c r="E119" s="92">
        <f t="shared" si="11"/>
        <v>991357.19</v>
      </c>
      <c r="F119" s="92">
        <f t="shared" si="11"/>
        <v>11469638.600000001</v>
      </c>
      <c r="G119" s="92">
        <f t="shared" si="11"/>
        <v>495160</v>
      </c>
      <c r="H119" s="92">
        <f t="shared" si="11"/>
        <v>1350000</v>
      </c>
      <c r="I119" s="92">
        <f t="shared" si="11"/>
        <v>13314798.600000001</v>
      </c>
      <c r="J119" s="13"/>
    </row>
    <row r="120" spans="1:9" ht="15">
      <c r="A120" s="84" t="s">
        <v>118</v>
      </c>
      <c r="B120" s="81"/>
      <c r="C120" s="100"/>
      <c r="D120" s="100"/>
      <c r="E120" s="100"/>
      <c r="F120" s="112"/>
      <c r="G120" s="113"/>
      <c r="H120" s="113"/>
      <c r="I120" s="113"/>
    </row>
    <row r="121" spans="1:9" ht="13.5">
      <c r="A121" s="18" t="s">
        <v>119</v>
      </c>
      <c r="B121" s="19"/>
      <c r="C121" s="100"/>
      <c r="D121" s="100"/>
      <c r="E121" s="100">
        <v>729376</v>
      </c>
      <c r="F121" s="112">
        <f>SUM(C121:E121)</f>
        <v>729376</v>
      </c>
      <c r="G121" s="113"/>
      <c r="H121" s="113"/>
      <c r="I121" s="113">
        <f>SUM(H121+G121+F121)</f>
        <v>729376</v>
      </c>
    </row>
    <row r="122" spans="1:9" ht="13.5">
      <c r="A122" s="18" t="s">
        <v>120</v>
      </c>
      <c r="B122" s="19"/>
      <c r="C122" s="100"/>
      <c r="D122" s="100"/>
      <c r="E122" s="100">
        <f>367168+330340.5</f>
        <v>697508.5</v>
      </c>
      <c r="F122" s="112">
        <f>SUM(C122:E122)</f>
        <v>697508.5</v>
      </c>
      <c r="G122" s="113"/>
      <c r="H122" s="113"/>
      <c r="I122" s="113">
        <f>SUM(H122+G122+F122)</f>
        <v>697508.5</v>
      </c>
    </row>
    <row r="123" spans="1:9" ht="14.25" thickBot="1">
      <c r="A123" s="18" t="s">
        <v>179</v>
      </c>
      <c r="B123" s="19"/>
      <c r="C123" s="98"/>
      <c r="D123" s="98">
        <f>250000+625302.24</f>
        <v>875302.24</v>
      </c>
      <c r="E123" s="100"/>
      <c r="F123" s="112">
        <f>SUM(C123:E123)</f>
        <v>875302.24</v>
      </c>
      <c r="G123" s="105"/>
      <c r="H123" s="105"/>
      <c r="I123" s="113">
        <f>SUM(H123+G123+F123)</f>
        <v>875302.24</v>
      </c>
    </row>
    <row r="124" spans="1:9" ht="15.75" thickBot="1">
      <c r="A124" s="22" t="s">
        <v>121</v>
      </c>
      <c r="B124" s="19"/>
      <c r="C124" s="101">
        <f aca="true" t="shared" si="12" ref="C124:I124">SUM(C120:C123)</f>
        <v>0</v>
      </c>
      <c r="D124" s="101">
        <f t="shared" si="12"/>
        <v>875302.24</v>
      </c>
      <c r="E124" s="101">
        <f t="shared" si="12"/>
        <v>1426884.5</v>
      </c>
      <c r="F124" s="101">
        <f t="shared" si="12"/>
        <v>2302186.74</v>
      </c>
      <c r="G124" s="101">
        <f t="shared" si="12"/>
        <v>0</v>
      </c>
      <c r="H124" s="101">
        <f t="shared" si="12"/>
        <v>0</v>
      </c>
      <c r="I124" s="101">
        <f t="shared" si="12"/>
        <v>2302186.74</v>
      </c>
    </row>
    <row r="125" spans="1:9" ht="13.5" thickBot="1">
      <c r="A125" s="34" t="s">
        <v>122</v>
      </c>
      <c r="B125" s="35"/>
      <c r="C125" s="99">
        <f aca="true" t="shared" si="13" ref="C125:I125">SUM(C124+C119+C96)</f>
        <v>30261882.679999996</v>
      </c>
      <c r="D125" s="99">
        <f t="shared" si="13"/>
        <v>91297313.41999999</v>
      </c>
      <c r="E125" s="99">
        <f t="shared" si="13"/>
        <v>9406863.69</v>
      </c>
      <c r="F125" s="99">
        <f t="shared" si="13"/>
        <v>130966059.78999999</v>
      </c>
      <c r="G125" s="99">
        <f t="shared" si="13"/>
        <v>2753313.25</v>
      </c>
      <c r="H125" s="99">
        <f t="shared" si="13"/>
        <v>4340803</v>
      </c>
      <c r="I125" s="99">
        <f t="shared" si="13"/>
        <v>138060176.04</v>
      </c>
    </row>
    <row r="126" spans="1:9" ht="12.75">
      <c r="A126" s="36" t="s">
        <v>123</v>
      </c>
      <c r="B126" s="33"/>
      <c r="C126" s="100"/>
      <c r="D126" s="100"/>
      <c r="E126" s="100"/>
      <c r="F126" s="100"/>
      <c r="G126" s="120"/>
      <c r="H126" s="120"/>
      <c r="I126" s="120"/>
    </row>
    <row r="127" spans="1:9" ht="12.75">
      <c r="A127" s="37" t="s">
        <v>80</v>
      </c>
      <c r="B127" s="32"/>
      <c r="C127" s="98">
        <f>662415+780276.45</f>
        <v>1442691.45</v>
      </c>
      <c r="D127" s="98"/>
      <c r="E127" s="98"/>
      <c r="F127" s="116">
        <f>SUM(C127:E127)</f>
        <v>1442691.45</v>
      </c>
      <c r="G127" s="121"/>
      <c r="H127" s="121"/>
      <c r="I127" s="121">
        <f>SUM(F127:H127)</f>
        <v>1442691.45</v>
      </c>
    </row>
    <row r="128" spans="1:10" ht="13.5" thickBot="1">
      <c r="A128" s="40" t="s">
        <v>81</v>
      </c>
      <c r="B128" s="33"/>
      <c r="C128" s="100">
        <v>641718</v>
      </c>
      <c r="D128" s="100"/>
      <c r="E128" s="100"/>
      <c r="F128" s="116">
        <f>SUM(C128:E128)</f>
        <v>641718</v>
      </c>
      <c r="G128" s="120"/>
      <c r="H128" s="120"/>
      <c r="I128" s="120">
        <f>SUM(F128)</f>
        <v>641718</v>
      </c>
      <c r="J128" s="59"/>
    </row>
    <row r="129" spans="1:9" ht="13.5" thickBot="1">
      <c r="A129" s="39" t="s">
        <v>51</v>
      </c>
      <c r="B129" s="38"/>
      <c r="C129" s="101">
        <f>SUM(C127:C128)</f>
        <v>2084409.45</v>
      </c>
      <c r="D129" s="92"/>
      <c r="E129" s="92">
        <f>SUM(E127:E128)</f>
        <v>0</v>
      </c>
      <c r="F129" s="101">
        <f>SUM(F127:F128)</f>
        <v>2084409.45</v>
      </c>
      <c r="G129" s="92">
        <f>SUM(G127:G128)</f>
        <v>0</v>
      </c>
      <c r="H129" s="92">
        <f>SUM(H127:H128)</f>
        <v>0</v>
      </c>
      <c r="I129" s="101">
        <f>SUM(I127:I128)</f>
        <v>2084409.45</v>
      </c>
    </row>
    <row r="130" spans="1:9" ht="13.5" thickBot="1">
      <c r="A130" s="39" t="s">
        <v>60</v>
      </c>
      <c r="B130" s="38"/>
      <c r="C130" s="122">
        <f aca="true" t="shared" si="14" ref="C130:I130">SUM(C129+C125)</f>
        <v>32346292.129999995</v>
      </c>
      <c r="D130" s="122">
        <f t="shared" si="14"/>
        <v>91297313.41999999</v>
      </c>
      <c r="E130" s="122">
        <f t="shared" si="14"/>
        <v>9406863.69</v>
      </c>
      <c r="F130" s="122">
        <f t="shared" si="14"/>
        <v>133050469.24</v>
      </c>
      <c r="G130" s="122">
        <f t="shared" si="14"/>
        <v>2753313.25</v>
      </c>
      <c r="H130" s="122">
        <f t="shared" si="14"/>
        <v>4340803</v>
      </c>
      <c r="I130" s="122">
        <f t="shared" si="14"/>
        <v>140144585.48999998</v>
      </c>
    </row>
    <row r="131" spans="1:9" ht="13.5">
      <c r="A131" s="49" t="s">
        <v>223</v>
      </c>
      <c r="B131" s="41"/>
      <c r="C131" s="95" t="s">
        <v>248</v>
      </c>
      <c r="D131" s="61"/>
      <c r="E131" s="61"/>
      <c r="F131" s="102"/>
      <c r="G131" s="102" t="s">
        <v>233</v>
      </c>
      <c r="H131" s="102"/>
      <c r="I131" s="102"/>
    </row>
    <row r="132" spans="1:9" ht="13.5">
      <c r="A132" s="2" t="s">
        <v>247</v>
      </c>
      <c r="B132" s="6"/>
      <c r="C132" s="60" t="s">
        <v>225</v>
      </c>
      <c r="D132" s="69"/>
      <c r="E132" s="69"/>
      <c r="F132" s="102"/>
      <c r="G132" s="102" t="s">
        <v>234</v>
      </c>
      <c r="H132" s="102"/>
      <c r="I132" s="102"/>
    </row>
    <row r="133" spans="1:9" ht="13.5">
      <c r="A133" s="60" t="s">
        <v>224</v>
      </c>
      <c r="B133" s="6"/>
      <c r="C133" s="60"/>
      <c r="D133" s="69"/>
      <c r="E133" s="69" t="s">
        <v>226</v>
      </c>
      <c r="F133" s="102"/>
      <c r="G133" s="102"/>
      <c r="H133" s="102" t="s">
        <v>235</v>
      </c>
      <c r="I133" s="102"/>
    </row>
    <row r="134" spans="1:9" ht="20.25" thickBot="1">
      <c r="A134" s="43" t="s">
        <v>241</v>
      </c>
      <c r="B134" s="45"/>
      <c r="C134" s="85"/>
      <c r="D134" s="212"/>
      <c r="E134" s="212"/>
      <c r="F134" s="213"/>
      <c r="G134" s="213" t="s">
        <v>239</v>
      </c>
      <c r="H134" s="124"/>
      <c r="I134" s="124"/>
    </row>
    <row r="135" spans="1:9" ht="13.5">
      <c r="A135" s="16" t="s">
        <v>8</v>
      </c>
      <c r="C135" s="25"/>
      <c r="D135" s="25"/>
      <c r="E135" s="25"/>
      <c r="F135" s="133">
        <f>SUM(C135:E135)</f>
        <v>0</v>
      </c>
      <c r="G135" s="138"/>
      <c r="H135" s="138"/>
      <c r="I135" s="144">
        <f>SUM(F135:H135)</f>
        <v>0</v>
      </c>
    </row>
    <row r="136" spans="1:9" ht="13.5">
      <c r="A136" s="135" t="s">
        <v>158</v>
      </c>
      <c r="B136" s="136"/>
      <c r="C136" s="129"/>
      <c r="D136" s="129"/>
      <c r="E136" s="129"/>
      <c r="F136" s="186">
        <f>SUM(C136:E136)</f>
        <v>0</v>
      </c>
      <c r="G136" s="187"/>
      <c r="H136" s="187"/>
      <c r="I136" s="188">
        <f>SUM(F136:H136)</f>
        <v>0</v>
      </c>
    </row>
    <row r="137" spans="1:9" ht="14.25" thickBot="1">
      <c r="A137" s="139" t="s">
        <v>159</v>
      </c>
      <c r="B137" s="140"/>
      <c r="C137" s="108"/>
      <c r="D137" s="108">
        <f>133451.38+3000.83+1155269.21+872711.46+3489.98+9994.89+8767.67</f>
        <v>2186685.42</v>
      </c>
      <c r="E137" s="108"/>
      <c r="F137" s="191">
        <f>SUM(C137:E137)</f>
        <v>2186685.42</v>
      </c>
      <c r="G137" s="166"/>
      <c r="H137" s="166"/>
      <c r="I137" s="166">
        <f>SUM(F137:H137)</f>
        <v>2186685.42</v>
      </c>
    </row>
    <row r="138" spans="1:9" ht="14.25" thickBot="1">
      <c r="A138" s="141" t="s">
        <v>160</v>
      </c>
      <c r="B138" s="142"/>
      <c r="C138" s="92"/>
      <c r="D138" s="92">
        <f>SUM(D135:D137)</f>
        <v>2186685.42</v>
      </c>
      <c r="E138" s="92"/>
      <c r="F138" s="192">
        <f>SUM(C138:E138)</f>
        <v>2186685.42</v>
      </c>
      <c r="G138" s="193"/>
      <c r="H138" s="193"/>
      <c r="I138" s="193">
        <f>SUM(I135:I137)</f>
        <v>2186685.42</v>
      </c>
    </row>
    <row r="139" spans="1:9" ht="12.75">
      <c r="A139" s="16" t="s">
        <v>163</v>
      </c>
      <c r="C139" s="103"/>
      <c r="D139" s="103"/>
      <c r="E139" s="103"/>
      <c r="F139" s="125"/>
      <c r="G139" s="189"/>
      <c r="H139" s="190"/>
      <c r="I139" s="190"/>
    </row>
    <row r="140" spans="1:9" ht="13.5">
      <c r="A140" s="18" t="s">
        <v>9</v>
      </c>
      <c r="B140" s="19" t="s">
        <v>10</v>
      </c>
      <c r="C140" s="98">
        <f>21880.5+126515+98208+44866.71+76246.76+1048+62749.31+43331.5+800+13984+114057.7+2010+163467.24+144491.25+3480+1244+2000</f>
        <v>920379.97</v>
      </c>
      <c r="D140" s="98">
        <f>4340+1980+1048.81+5552.5+9540+27156+12210.04+9036+6305+8846.92+1118+9690+57784+59344.97+4640+16255+3153.5+5062.94+27606.24+2560+10000+1920+20765.35+1760+15771+1680+3259+1949+19622.88+8864.72+2790+32227.52+35020+10200+67.5+10130+23110+11617+11670+1680+4380+8176+8050+8397+1818+3556.25+4490+34937+5140+3670+1587+25850+11949.12+21175+535.95+13660+1574.5+4095.25+1666.51+1176+66621.41+49116.75+49332.25+2010+12334+430+19034+2935+2166.58+4010+11910+20837+14546.12+3610+4010+18147.92+14649.23+10175+1900+3977.5+1360+5615+87510.5+23062.8+17650+1920+6281.25+3966+16800+18768.2</f>
        <v>1157903.98</v>
      </c>
      <c r="E140" s="98">
        <f>3577+480+26836.5+20000+5780+17770+19090+1920+12800+400+1280+26133+34760+36880+10240+1996+1675+4830+5400+2240+1280+2240+13200+16245+15050+14459+960+8655+24546.75+11675+4000+3014+38819+48731.35+5345+34985.05+1144+10880+1418.38</f>
        <v>490735.02999999997</v>
      </c>
      <c r="F140" s="104">
        <f>SUM(C140:E140)</f>
        <v>2569018.98</v>
      </c>
      <c r="G140" s="105">
        <v>115085</v>
      </c>
      <c r="H140" s="105">
        <v>390241</v>
      </c>
      <c r="I140" s="105">
        <f>SUM(F140:H140)</f>
        <v>3074344.98</v>
      </c>
    </row>
    <row r="141" spans="1:9" ht="13.5">
      <c r="A141" s="18" t="s">
        <v>183</v>
      </c>
      <c r="B141" s="19"/>
      <c r="C141" s="98"/>
      <c r="D141" s="98"/>
      <c r="E141" s="98"/>
      <c r="F141" s="104">
        <f aca="true" t="shared" si="15" ref="F141:F162">SUM(C141:E141)</f>
        <v>0</v>
      </c>
      <c r="G141" s="105"/>
      <c r="H141" s="105"/>
      <c r="I141" s="105">
        <f aca="true" t="shared" si="16" ref="I141:I163">SUM(F141:H141)</f>
        <v>0</v>
      </c>
    </row>
    <row r="142" spans="1:9" ht="13.5">
      <c r="A142" s="19" t="s">
        <v>12</v>
      </c>
      <c r="C142" s="98">
        <f>42500+9223+47700+80600+51100+32400+11400+12020.62+20800+26300+104400+10850</f>
        <v>449293.62</v>
      </c>
      <c r="D142" s="98">
        <f>3600+46000+2900+1000+3500+6000+15300+19700+43250+4000+14700+380+14800+4000+3000+3300+3000+9200+4000+7200+4000+26350+14000+9600+5000+5920+37500+20148.1+12200+5000+6500+6100+16500+5000+4000+13500+7850+2950+2000+57000.2+26510+800+16800+2500+39438.79+3300+3500+41089.92+5500+39730.3+12000+8500+15000+5000+742</f>
        <v>690359.31</v>
      </c>
      <c r="E142" s="98">
        <f>8000+8000+16000+3500+6900+9500+7000+2000+7200+10292.5</f>
        <v>78392.5</v>
      </c>
      <c r="F142" s="104">
        <f t="shared" si="15"/>
        <v>1218045.4300000002</v>
      </c>
      <c r="G142" s="105">
        <v>12800</v>
      </c>
      <c r="H142" s="105">
        <v>43200</v>
      </c>
      <c r="I142" s="105">
        <f t="shared" si="16"/>
        <v>1274045.4300000002</v>
      </c>
    </row>
    <row r="143" spans="1:9" ht="13.5">
      <c r="A143" s="18" t="s">
        <v>164</v>
      </c>
      <c r="B143" s="19"/>
      <c r="C143" s="98">
        <f>27000+33356+1000+5000+3200+30000+33356</f>
        <v>132912</v>
      </c>
      <c r="D143" s="98">
        <f>5000-5000</f>
        <v>0</v>
      </c>
      <c r="E143" s="98"/>
      <c r="F143" s="104">
        <f t="shared" si="15"/>
        <v>132912</v>
      </c>
      <c r="G143" s="105"/>
      <c r="H143" s="105"/>
      <c r="I143" s="105">
        <f t="shared" si="16"/>
        <v>132912</v>
      </c>
    </row>
    <row r="144" spans="1:9" ht="13.5">
      <c r="A144" s="18" t="s">
        <v>14</v>
      </c>
      <c r="B144" s="19"/>
      <c r="C144" s="98">
        <f>12635.8+15898.3+5366.86+12237+20242.62+10686.37+16996.27+26264.99+15505.12+1675.26+11575.84+26952.49+12521.73+13597.49+20903.98+20875.69+1499+299+599+618.95+2815.72+31988.89+499+4241.65+12713.42+2105.32+915.59</f>
        <v>302231.3500000001</v>
      </c>
      <c r="D144" s="98">
        <f>1715.88+2284.59+1234.7+1429.44+1048.81+1922.38+2043.39+1147.37+1048.81+1587.5+3364.03+1048.81+1027.71+1500+1048.78+2260.89+1026.38+1080.14+12300+1030.52+1048.81+5000+1556.14+1048.81+1155.18+4500+1554.01+1048.81+1048.78+1101.98+2143.46</f>
        <v>62356.10999999999</v>
      </c>
      <c r="E144" s="98">
        <f>4291.54+2101.9+2863.01+1485.58+1183.18+3408.1+1076.41+1048.78+5490.68+1086.4+1441.34+2870.32+1037+1622.22+2363.73+2668.33+1465.42+4533.53+1641.26+3308.26+350+1267.74+1823.89+1129.03+1676.05+1048.78</f>
        <v>54282.48</v>
      </c>
      <c r="F144" s="104">
        <f t="shared" si="15"/>
        <v>418869.94000000006</v>
      </c>
      <c r="G144" s="105"/>
      <c r="H144" s="105">
        <v>21857</v>
      </c>
      <c r="I144" s="105">
        <f t="shared" si="16"/>
        <v>440726.94000000006</v>
      </c>
    </row>
    <row r="145" spans="1:9" ht="13.5">
      <c r="A145" s="18" t="s">
        <v>15</v>
      </c>
      <c r="B145" s="19"/>
      <c r="C145" s="98">
        <f>635593.72+83.13+584988.67+83.13+704515.83+94.04+94.04+83.13+546897.44+83.13-300887.26+612797.49+83.13-612880.62+83.13+922932.92+83.13-923099.18+989174.32+83.13</f>
        <v>3160886.4499999993</v>
      </c>
      <c r="D145" s="98">
        <f>2250.91+300887.26+83.13+612880.62+83.13+923099.18+83.13+23300.34</f>
        <v>1862667.7</v>
      </c>
      <c r="E145" s="98">
        <f>2250.91+121.03+118.81+99.04+398.4+862.45+395+2094.48+358+157.28+358+358+3388.75+358+195.57</f>
        <v>11513.720000000001</v>
      </c>
      <c r="F145" s="104">
        <f t="shared" si="15"/>
        <v>5035067.869999999</v>
      </c>
      <c r="G145" s="105">
        <v>44130.9</v>
      </c>
      <c r="H145" s="105">
        <v>104997</v>
      </c>
      <c r="I145" s="105">
        <f t="shared" si="16"/>
        <v>5184195.77</v>
      </c>
    </row>
    <row r="146" spans="1:9" ht="13.5">
      <c r="A146" s="18" t="s">
        <v>16</v>
      </c>
      <c r="B146" s="19"/>
      <c r="C146" s="98">
        <f>28902.19+13017+58345+1500+32450+24000+265086+4740+18184+46572+550+550+50234+105426+4060+8650</f>
        <v>662266.19</v>
      </c>
      <c r="D146" s="98">
        <f>247895+67081.5+38022.5+8229+16528.32+63835+73090+22344+8928.5+93094+67107+11600+16459.25+18887+5735</f>
        <v>758836.0700000001</v>
      </c>
      <c r="E146" s="98">
        <f>14194+40440+1935+8451+14000+5893</f>
        <v>84913</v>
      </c>
      <c r="F146" s="104">
        <f t="shared" si="15"/>
        <v>1506015.26</v>
      </c>
      <c r="G146" s="105">
        <v>21000</v>
      </c>
      <c r="H146" s="105">
        <v>150302</v>
      </c>
      <c r="I146" s="105">
        <f t="shared" si="16"/>
        <v>1677317.26</v>
      </c>
    </row>
    <row r="147" spans="1:9" ht="13.5">
      <c r="A147" s="18" t="s">
        <v>17</v>
      </c>
      <c r="B147" s="19"/>
      <c r="C147" s="98">
        <f>8850+4070+13440+10535+19294.75+2860+4041+4505+68065</f>
        <v>135660.75</v>
      </c>
      <c r="D147" s="98"/>
      <c r="E147" s="98"/>
      <c r="F147" s="104">
        <f t="shared" si="15"/>
        <v>135660.75</v>
      </c>
      <c r="G147" s="105">
        <v>77387.9</v>
      </c>
      <c r="H147" s="105">
        <v>43793</v>
      </c>
      <c r="I147" s="105">
        <f t="shared" si="16"/>
        <v>256841.65</v>
      </c>
    </row>
    <row r="148" spans="1:9" ht="13.5">
      <c r="A148" s="18" t="s">
        <v>53</v>
      </c>
      <c r="B148" s="19"/>
      <c r="C148" s="98">
        <f>66285.5+805+294568.5+419155.25+362090.89+31052+77321.5+11820+147491.8+7802.42+105238+421799.24+40450-105+415508.5+63130+267918.75+2736+138785+84577.4+364766.25+650</f>
        <v>3323847</v>
      </c>
      <c r="D148" s="98">
        <f>9850+117964.75+1400+21900+19938.75+15625+51045.68+20510+161170+12540+14501.76+23002.56+2670+430.5+23470.5+2525+6572+31275+64951.7+5345.25+21920+202421+157004.6+29113.8+53698.2+56874.64+14884+12806+5223.35+44265.38+13125+46670+130683.75+5775.5+3060+27750+21706.6+5435+1170+1978+67482.24+30475+23000+63308.8+10542+2105.5+734.1+3425</f>
        <v>1663325.9100000001</v>
      </c>
      <c r="E148" s="98">
        <f>510+38331.15+25310+32856+9500+9619.46+17582.5+22475+3605+22444+17855+2760+35463.2+19918+4750+62660+38567.5+39572.5+39766.92+6961+7700+6380</f>
        <v>464587.23</v>
      </c>
      <c r="F148" s="104">
        <f t="shared" si="15"/>
        <v>5451760.140000001</v>
      </c>
      <c r="G148" s="105">
        <v>423801.99</v>
      </c>
      <c r="H148" s="105">
        <v>653304</v>
      </c>
      <c r="I148" s="105">
        <f t="shared" si="16"/>
        <v>6528866.130000001</v>
      </c>
    </row>
    <row r="149" spans="1:9" ht="13.5">
      <c r="A149" s="18" t="s">
        <v>18</v>
      </c>
      <c r="B149" s="19"/>
      <c r="C149" s="98">
        <f>36715.97+15283.77+80055.89+3100+2410+60567.52+48466.34+1000+72359.69+40810.88+43038.99</f>
        <v>403809.05</v>
      </c>
      <c r="D149" s="98">
        <f>5411.31+8050.34+734.04+2870.08+1600.02+2414.24+1750.17+6672.38+1500+500+2950+2777.5+1500+2591.35+21431.3+5000+4618.11+4974.3+1400+14872.28+6470.25+2262.2+14630.88+1695.75+1500+17499.53+645.3+500+2431.39+16301.3+3371.41</f>
        <v>160925.43</v>
      </c>
      <c r="E149" s="98">
        <f>3482.16+1700+12402+1793.19+2397+4049.56+2453+500+2000+2961+1771.54+9662.49+2000+960+3204.1+2890+2812.23+3000+7002.31+475.11+6961.02+17011.97+4039.46+8959.41+2000</f>
        <v>106487.55000000002</v>
      </c>
      <c r="F149" s="104">
        <f t="shared" si="15"/>
        <v>671222.03</v>
      </c>
      <c r="G149" s="105">
        <v>17072.5</v>
      </c>
      <c r="H149" s="105">
        <v>107641</v>
      </c>
      <c r="I149" s="105">
        <f t="shared" si="16"/>
        <v>795935.53</v>
      </c>
    </row>
    <row r="150" spans="1:9" ht="13.5">
      <c r="A150" s="18" t="s">
        <v>19</v>
      </c>
      <c r="B150" s="19"/>
      <c r="C150" s="98">
        <f>43922.56+73819.25+116665.25+74943+20000+59510.75+22000</f>
        <v>410860.81</v>
      </c>
      <c r="D150" s="98">
        <f>119334.5+175357.25+156870+100098.5+103468.8</f>
        <v>655129.05</v>
      </c>
      <c r="E150" s="98"/>
      <c r="F150" s="104">
        <f t="shared" si="15"/>
        <v>1065989.86</v>
      </c>
      <c r="G150" s="105"/>
      <c r="H150" s="105">
        <v>76521</v>
      </c>
      <c r="I150" s="105">
        <f t="shared" si="16"/>
        <v>1142510.86</v>
      </c>
    </row>
    <row r="151" spans="1:9" ht="13.5">
      <c r="A151" s="18" t="s">
        <v>20</v>
      </c>
      <c r="B151" s="19"/>
      <c r="C151" s="98">
        <v>199000</v>
      </c>
      <c r="D151" s="98">
        <f>30000+35000+27000+22000</f>
        <v>114000</v>
      </c>
      <c r="E151" s="98"/>
      <c r="F151" s="104">
        <f t="shared" si="15"/>
        <v>313000</v>
      </c>
      <c r="G151" s="105"/>
      <c r="H151" s="105">
        <v>19000</v>
      </c>
      <c r="I151" s="105">
        <f t="shared" si="16"/>
        <v>332000</v>
      </c>
    </row>
    <row r="152" spans="1:9" ht="13.5">
      <c r="A152" s="18" t="s">
        <v>21</v>
      </c>
      <c r="B152" s="19"/>
      <c r="C152" s="98">
        <f>27671.11+238247.66+79996.73+99549+86747+5676-260000-124689.6+29892+7431-16055+78478.8+9985+10000+14216</f>
        <v>287145.7</v>
      </c>
      <c r="D152" s="98"/>
      <c r="E152" s="98"/>
      <c r="F152" s="104">
        <f t="shared" si="15"/>
        <v>287145.7</v>
      </c>
      <c r="G152" s="105"/>
      <c r="H152" s="105"/>
      <c r="I152" s="105">
        <f t="shared" si="16"/>
        <v>287145.7</v>
      </c>
    </row>
    <row r="153" spans="1:9" ht="13.5">
      <c r="A153" s="18" t="s">
        <v>76</v>
      </c>
      <c r="B153" s="19"/>
      <c r="C153" s="98">
        <f>65000+62344.8+123858.34+124689.6+62344.8+62136.97+16055-40429.51+62344.8+91371.39-153716.19</f>
        <v>476000.00000000006</v>
      </c>
      <c r="D153" s="98">
        <f>40429.51+153716.19+61929.17+70016.8+15050</f>
        <v>341141.67</v>
      </c>
      <c r="E153" s="98"/>
      <c r="F153" s="104">
        <f t="shared" si="15"/>
        <v>817141.67</v>
      </c>
      <c r="G153" s="105"/>
      <c r="H153" s="105"/>
      <c r="I153" s="105">
        <f t="shared" si="16"/>
        <v>817141.67</v>
      </c>
    </row>
    <row r="154" spans="1:9" ht="13.5">
      <c r="A154" s="18" t="s">
        <v>22</v>
      </c>
      <c r="B154" s="19"/>
      <c r="C154" s="98">
        <f>249775</f>
        <v>249775</v>
      </c>
      <c r="D154" s="98">
        <f>18146+190403.89+10200+224502.75+2000+50440</f>
        <v>495692.64</v>
      </c>
      <c r="E154" s="98"/>
      <c r="F154" s="104">
        <f t="shared" si="15"/>
        <v>745467.64</v>
      </c>
      <c r="G154" s="105"/>
      <c r="H154" s="105"/>
      <c r="I154" s="105">
        <f t="shared" si="16"/>
        <v>745467.64</v>
      </c>
    </row>
    <row r="155" spans="1:9" ht="13.5">
      <c r="A155" s="18" t="s">
        <v>23</v>
      </c>
      <c r="B155" s="19"/>
      <c r="C155" s="98">
        <f>28500+42850+4250+15000+19250+525+92857+86934+18209</f>
        <v>308375</v>
      </c>
      <c r="D155" s="98"/>
      <c r="E155" s="98"/>
      <c r="F155" s="104">
        <f t="shared" si="15"/>
        <v>308375</v>
      </c>
      <c r="G155" s="105"/>
      <c r="H155" s="105">
        <v>16185</v>
      </c>
      <c r="I155" s="105">
        <f t="shared" si="16"/>
        <v>324560</v>
      </c>
    </row>
    <row r="156" spans="1:9" ht="13.5">
      <c r="A156" s="18" t="s">
        <v>24</v>
      </c>
      <c r="B156" s="19"/>
      <c r="C156" s="98">
        <f>286475.48+573156.77+1286.25+1166.2+573242.51+617.4-46609.61+926.1-926.1</f>
        <v>1389334.9999999998</v>
      </c>
      <c r="D156" s="98">
        <f>570721.46+856082.19+46609.61+670721.46+926.1+570721.46+771.75</f>
        <v>2716554.03</v>
      </c>
      <c r="E156" s="98">
        <f>289751.13+570721.47</f>
        <v>860472.6</v>
      </c>
      <c r="F156" s="104">
        <f t="shared" si="15"/>
        <v>4966361.629999999</v>
      </c>
      <c r="G156" s="105"/>
      <c r="H156" s="105"/>
      <c r="I156" s="105">
        <f t="shared" si="16"/>
        <v>4966361.629999999</v>
      </c>
    </row>
    <row r="157" spans="1:9" ht="13.5">
      <c r="A157" s="18" t="s">
        <v>25</v>
      </c>
      <c r="B157" s="19"/>
      <c r="C157" s="98"/>
      <c r="D157" s="98"/>
      <c r="E157" s="98"/>
      <c r="F157" s="104">
        <f t="shared" si="15"/>
        <v>0</v>
      </c>
      <c r="G157" s="105"/>
      <c r="H157" s="105"/>
      <c r="I157" s="105">
        <f t="shared" si="16"/>
        <v>0</v>
      </c>
    </row>
    <row r="158" spans="1:9" ht="13.5">
      <c r="A158" s="18" t="s">
        <v>184</v>
      </c>
      <c r="B158" s="19"/>
      <c r="C158" s="98">
        <f>284964.41+269679+290751.19+216184+130813.5+136970+258019.13+125147.59+181476.1+264110.39+464555.66+194269.22+300993.9+7821+6720+18350.5+3184+2388+3980</f>
        <v>3160377.5900000003</v>
      </c>
      <c r="D158" s="98">
        <f>124642+158327+161708.5+134676.67+62337.89+78637.8+155441+93161.24+69789.5+161385.5+298666.64+131383.14+262595.5+2744+3184+3184+2616+2744+3184</f>
        <v>1910408.3800000004</v>
      </c>
      <c r="E158" s="98">
        <f>178800+179878+192683+156677+77859+98584+188362.5+135108+117518+192186+370078+174858+281391+2744+4048+2744+4048+5060</f>
        <v>2362626.5</v>
      </c>
      <c r="F158" s="104">
        <f t="shared" si="15"/>
        <v>7433412.470000001</v>
      </c>
      <c r="G158" s="105"/>
      <c r="H158" s="105"/>
      <c r="I158" s="105">
        <f t="shared" si="16"/>
        <v>7433412.470000001</v>
      </c>
    </row>
    <row r="159" spans="1:9" ht="13.5">
      <c r="A159" s="18" t="s">
        <v>26</v>
      </c>
      <c r="B159" s="19"/>
      <c r="C159" s="98">
        <f>192180+10500+21100+147500+89700+10500+11100+25735.5+495624+10500</f>
        <v>1014439.5</v>
      </c>
      <c r="D159" s="98">
        <f>7000+1500+300+300+7400</f>
        <v>16500</v>
      </c>
      <c r="E159" s="98">
        <f>38500+12250+57500+58000+29307+1200</f>
        <v>196757</v>
      </c>
      <c r="F159" s="104">
        <f t="shared" si="15"/>
        <v>1227696.5</v>
      </c>
      <c r="G159" s="106">
        <v>5700</v>
      </c>
      <c r="H159" s="106">
        <v>40700</v>
      </c>
      <c r="I159" s="105">
        <f t="shared" si="16"/>
        <v>1274096.5</v>
      </c>
    </row>
    <row r="160" spans="1:9" ht="13.5">
      <c r="A160" s="18" t="s">
        <v>27</v>
      </c>
      <c r="B160" s="19"/>
      <c r="C160" s="98">
        <f>11700+15000+15804+8000+25590+6000+27768.5</f>
        <v>109862.5</v>
      </c>
      <c r="D160" s="98"/>
      <c r="E160" s="98"/>
      <c r="F160" s="104">
        <f t="shared" si="15"/>
        <v>109862.5</v>
      </c>
      <c r="G160" s="106"/>
      <c r="H160" s="106">
        <v>1000</v>
      </c>
      <c r="I160" s="105">
        <f t="shared" si="16"/>
        <v>110862.5</v>
      </c>
    </row>
    <row r="161" spans="1:9" ht="13.5">
      <c r="A161" s="18" t="s">
        <v>65</v>
      </c>
      <c r="B161" s="19"/>
      <c r="C161" s="107"/>
      <c r="D161" s="107"/>
      <c r="E161" s="107">
        <f>1530+36057+3130+11805+6530</f>
        <v>59052</v>
      </c>
      <c r="F161" s="104">
        <f t="shared" si="15"/>
        <v>59052</v>
      </c>
      <c r="G161" s="106"/>
      <c r="H161" s="106"/>
      <c r="I161" s="105">
        <f t="shared" si="16"/>
        <v>59052</v>
      </c>
    </row>
    <row r="162" spans="1:9" ht="13.5">
      <c r="A162" s="18" t="s">
        <v>68</v>
      </c>
      <c r="B162" s="19"/>
      <c r="C162" s="107"/>
      <c r="D162" s="107"/>
      <c r="E162" s="107"/>
      <c r="F162" s="104">
        <f t="shared" si="15"/>
        <v>0</v>
      </c>
      <c r="G162" s="106"/>
      <c r="H162" s="106"/>
      <c r="I162" s="105">
        <f t="shared" si="16"/>
        <v>0</v>
      </c>
    </row>
    <row r="163" spans="1:9" ht="14.25" thickBot="1">
      <c r="A163" s="18" t="s">
        <v>28</v>
      </c>
      <c r="B163" s="19"/>
      <c r="C163" s="108">
        <f>2050+1183.31+385614-2250.91+1400+1048.81+399277.08+1400+284264.05+1239+9740+15520+40869.5+53118+1400+1165.73+140616+2050+28296.81+251003.75+17414.8+59900+60099+2050+599+300490.81+2050+102609.87+1400+16621.81+3660724.38+17410+4250+550+495+3150+650+5284.32+942+425+740+1394+1400+3300+4150+2180+27545+750+984.75+1510+2500+2000+5215</f>
        <v>5929789.870000001</v>
      </c>
      <c r="D163" s="108">
        <f>3074.5+11460+11000+21000+8516.3+8457+11000+20326.5+11000+11000+15000+12826.5+5257+30276+11000+11000+20000+2880+11000+11000+15000+11000+15000+15000+11000+10000+4999+15055+11000+73000+19296.75+2918+80250+72481+11000+230+21000+15000+51+28144.55+1054.41+11000+11000+15000-1650+14501.82+108439+18330+11000+15500+2852+36525+20000+21853.96+11000+5500+5500+24115+46070.11+110162.7+290576+87217.68+30423.25+50454+16000+41340+25811.16+22870+11000+27592+23020+8280+49676.3+186226.44+464670+22000+13052+33698+11000+1500+8325+78667.75+23221.76+5240.27+4495.61+9980.64+33107.1+2410.78+2043.66</f>
        <v>2750152.4999999995</v>
      </c>
      <c r="E163" s="108">
        <f>29304+276000+5888+37857+820+13480.5+80000+22678+68127.4+1160+500+18808+23600+12680+20080+1000+14450+41035+46746+495+38636+15000+5000+56218.5+21800+48000+24140+11000+12000+20220+125351+24000+148+1750+2100+1750+7200+358</f>
        <v>1129380.4</v>
      </c>
      <c r="F163" s="104">
        <f>SUM(C163:E163)</f>
        <v>9809322.770000001</v>
      </c>
      <c r="G163" s="109">
        <f>299241.63+11875</f>
        <v>311116.63</v>
      </c>
      <c r="H163" s="109"/>
      <c r="I163" s="105">
        <f t="shared" si="16"/>
        <v>10120439.400000002</v>
      </c>
    </row>
    <row r="164" spans="1:9" ht="14.25" thickBot="1">
      <c r="A164" s="20" t="s">
        <v>7</v>
      </c>
      <c r="B164" s="19"/>
      <c r="C164" s="101">
        <f aca="true" t="shared" si="17" ref="C164:I164">SUM(C140:C163)</f>
        <v>23026247.349999998</v>
      </c>
      <c r="D164" s="101">
        <f t="shared" si="17"/>
        <v>15355952.78</v>
      </c>
      <c r="E164" s="101">
        <f t="shared" si="17"/>
        <v>5899200.01</v>
      </c>
      <c r="F164" s="101">
        <f t="shared" si="17"/>
        <v>44281400.14</v>
      </c>
      <c r="G164" s="101">
        <f t="shared" si="17"/>
        <v>1028094.92</v>
      </c>
      <c r="H164" s="101">
        <f t="shared" si="17"/>
        <v>1668741</v>
      </c>
      <c r="I164" s="101">
        <f t="shared" si="17"/>
        <v>46978236.06</v>
      </c>
    </row>
    <row r="165" spans="1:9" ht="15">
      <c r="A165" s="21" t="s">
        <v>29</v>
      </c>
      <c r="B165" s="19"/>
      <c r="C165" s="100"/>
      <c r="D165" s="100"/>
      <c r="E165" s="100"/>
      <c r="F165" s="112"/>
      <c r="G165" s="105"/>
      <c r="H165" s="105"/>
      <c r="I165" s="113">
        <f>SUM(F165:H165)</f>
        <v>0</v>
      </c>
    </row>
    <row r="166" spans="1:9" ht="13.5">
      <c r="A166" s="18" t="s">
        <v>30</v>
      </c>
      <c r="B166" s="19"/>
      <c r="C166" s="98"/>
      <c r="D166" s="104">
        <f>21683.2+58620.35+29008</f>
        <v>109311.55</v>
      </c>
      <c r="E166" s="98"/>
      <c r="F166" s="104">
        <f aca="true" t="shared" si="18" ref="F166:F222">SUM(C166:E166)</f>
        <v>109311.55</v>
      </c>
      <c r="G166" s="105"/>
      <c r="H166" s="105"/>
      <c r="I166" s="105">
        <f>SUM(F166:H166)</f>
        <v>109311.55</v>
      </c>
    </row>
    <row r="167" spans="1:9" ht="13.5">
      <c r="A167" s="18" t="s">
        <v>49</v>
      </c>
      <c r="B167" s="19"/>
      <c r="C167" s="98"/>
      <c r="D167" s="104">
        <f>4966.5+40210+17161.2+76634.15+53610-1360-3450+9423.5+204551.5+2430+118251+25450</f>
        <v>547877.85</v>
      </c>
      <c r="E167" s="98"/>
      <c r="F167" s="104">
        <f t="shared" si="18"/>
        <v>547877.85</v>
      </c>
      <c r="G167" s="105">
        <v>18785.44</v>
      </c>
      <c r="H167" s="105"/>
      <c r="I167" s="105">
        <f aca="true" t="shared" si="19" ref="I167:I222">SUM(F167:H167)</f>
        <v>566663.2899999999</v>
      </c>
    </row>
    <row r="168" spans="1:9" ht="13.5">
      <c r="A168" s="18" t="s">
        <v>50</v>
      </c>
      <c r="B168" s="19"/>
      <c r="C168" s="98"/>
      <c r="D168" s="104">
        <f>93170.76+42330+24109+153742+54817.5+21000+1850+105400+31003.5+56825.5+17155+43675+312946-39785+8100+18028.6+2573+25148.95+59901.25+25850+86225+21050+33262+29012.75+27215+12170+62875+24000+70500+14148+76407.5+379060.04+296148+15850+131567+53718+171918+114265+65250</f>
        <v>2742482.35</v>
      </c>
      <c r="E168" s="98"/>
      <c r="F168" s="104">
        <f t="shared" si="18"/>
        <v>2742482.35</v>
      </c>
      <c r="G168" s="105">
        <v>325515</v>
      </c>
      <c r="H168" s="105"/>
      <c r="I168" s="105">
        <f t="shared" si="19"/>
        <v>3067997.35</v>
      </c>
    </row>
    <row r="169" spans="1:9" ht="13.5">
      <c r="A169" s="18" t="s">
        <v>31</v>
      </c>
      <c r="B169" s="19"/>
      <c r="C169" s="98"/>
      <c r="D169" s="104">
        <f>152062+310545.01+15083.5+6111</f>
        <v>483801.51</v>
      </c>
      <c r="E169" s="98"/>
      <c r="F169" s="104">
        <f t="shared" si="18"/>
        <v>483801.51</v>
      </c>
      <c r="G169" s="105"/>
      <c r="H169" s="105"/>
      <c r="I169" s="105">
        <f t="shared" si="19"/>
        <v>483801.51</v>
      </c>
    </row>
    <row r="170" spans="1:9" ht="13.5">
      <c r="A170" s="18" t="s">
        <v>32</v>
      </c>
      <c r="B170" s="19"/>
      <c r="C170" s="98"/>
      <c r="D170" s="104">
        <f>330000+46172.5+23809.61+61984+2760+13244-46070.11-8280</f>
        <v>423620</v>
      </c>
      <c r="E170" s="98"/>
      <c r="F170" s="104">
        <f t="shared" si="18"/>
        <v>423620</v>
      </c>
      <c r="G170" s="105"/>
      <c r="H170" s="105"/>
      <c r="I170" s="105">
        <f t="shared" si="19"/>
        <v>423620</v>
      </c>
    </row>
    <row r="171" spans="1:9" ht="13.5">
      <c r="A171" s="18" t="s">
        <v>33</v>
      </c>
      <c r="B171" s="19"/>
      <c r="C171" s="98"/>
      <c r="D171" s="98">
        <f>7298+9933+14503+244479.38+20777+187638+81388.6+75550+158501+173148+70734.5+54939+111538+658413.5</f>
        <v>1868840.98</v>
      </c>
      <c r="E171" s="98"/>
      <c r="F171" s="104">
        <f t="shared" si="18"/>
        <v>1868840.98</v>
      </c>
      <c r="G171" s="105"/>
      <c r="H171" s="105"/>
      <c r="I171" s="105">
        <f t="shared" si="19"/>
        <v>1868840.98</v>
      </c>
    </row>
    <row r="172" spans="1:9" ht="13.5">
      <c r="A172" s="18" t="s">
        <v>34</v>
      </c>
      <c r="B172" s="19"/>
      <c r="C172" s="98"/>
      <c r="D172" s="98">
        <f>100300+27193.06+297152.25+407400+100300+97495-58620.35+139700+13800+12000+9227+40290.49+116500+191276</f>
        <v>1494013.45</v>
      </c>
      <c r="E172" s="98"/>
      <c r="F172" s="104">
        <f t="shared" si="18"/>
        <v>1494013.45</v>
      </c>
      <c r="G172" s="106"/>
      <c r="H172" s="106"/>
      <c r="I172" s="105">
        <f t="shared" si="19"/>
        <v>1494013.45</v>
      </c>
    </row>
    <row r="173" spans="1:9" ht="13.5">
      <c r="A173" s="18" t="s">
        <v>52</v>
      </c>
      <c r="B173" s="19"/>
      <c r="C173" s="98"/>
      <c r="D173" s="98">
        <f>205969.46+1215769+62574+199531.08-103550.54+13370+4776-18146+9154+9466-18620+39492+20352-59844+105678-105678+684564.5-540737.61-190403.89+224502.75-224502.75</f>
        <v>1533716</v>
      </c>
      <c r="E173" s="98"/>
      <c r="F173" s="104">
        <f>SUM(C173:E173)</f>
        <v>1533716</v>
      </c>
      <c r="G173" s="105"/>
      <c r="H173" s="105"/>
      <c r="I173" s="105">
        <f t="shared" si="19"/>
        <v>1533716</v>
      </c>
    </row>
    <row r="174" spans="1:9" ht="13.5">
      <c r="A174" s="18" t="s">
        <v>35</v>
      </c>
      <c r="B174" s="19"/>
      <c r="C174" s="98"/>
      <c r="D174" s="98">
        <f>2295+414100</f>
        <v>416395</v>
      </c>
      <c r="E174" s="98"/>
      <c r="F174" s="104">
        <f t="shared" si="18"/>
        <v>416395</v>
      </c>
      <c r="G174" s="105">
        <v>26700</v>
      </c>
      <c r="H174" s="105"/>
      <c r="I174" s="105">
        <f t="shared" si="19"/>
        <v>443095</v>
      </c>
    </row>
    <row r="175" spans="1:9" ht="13.5">
      <c r="A175" s="18" t="s">
        <v>36</v>
      </c>
      <c r="B175" s="19"/>
      <c r="C175" s="98"/>
      <c r="D175" s="98">
        <f>92076+78863.9+48046.9+51906+18920+24999+260000+208360+105716.75+121753.06+224754.7+98200+132773+107997.05+197217.99+1419+2295+499+393.75</f>
        <v>1776191.1</v>
      </c>
      <c r="E175" s="98"/>
      <c r="F175" s="104">
        <f t="shared" si="18"/>
        <v>1776191.1</v>
      </c>
      <c r="G175" s="105"/>
      <c r="H175" s="105"/>
      <c r="I175" s="105">
        <f t="shared" si="19"/>
        <v>1776191.1</v>
      </c>
    </row>
    <row r="176" spans="1:9" ht="13.5">
      <c r="A176" s="18" t="s">
        <v>37</v>
      </c>
      <c r="B176" s="19"/>
      <c r="C176" s="98"/>
      <c r="D176" s="98">
        <f>9933+9933+10406+8514+4730+5676+4730+12771+7095+31862+14933+13726+8987+2365</f>
        <v>145661</v>
      </c>
      <c r="E176" s="98"/>
      <c r="F176" s="104">
        <f t="shared" si="18"/>
        <v>145661</v>
      </c>
      <c r="G176" s="106"/>
      <c r="H176" s="106"/>
      <c r="I176" s="105">
        <f t="shared" si="19"/>
        <v>145661</v>
      </c>
    </row>
    <row r="177" spans="1:9" ht="13.5">
      <c r="A177" s="18" t="s">
        <v>38</v>
      </c>
      <c r="B177" s="19"/>
      <c r="C177" s="98"/>
      <c r="D177" s="98">
        <f>960+43973.23+56891.74+19025+10735+4687.18+5460+37787+11442.72+12950+89672.82+40600.76+7046.21+43800+3599.5+650+931.6</f>
        <v>390212.76</v>
      </c>
      <c r="E177" s="98"/>
      <c r="F177" s="104">
        <f t="shared" si="18"/>
        <v>390212.76</v>
      </c>
      <c r="G177" s="106"/>
      <c r="H177" s="106"/>
      <c r="I177" s="105">
        <f t="shared" si="19"/>
        <v>390212.76</v>
      </c>
    </row>
    <row r="178" spans="1:9" ht="13.5">
      <c r="A178" s="18" t="s">
        <v>58</v>
      </c>
      <c r="B178" s="19"/>
      <c r="C178" s="107"/>
      <c r="D178" s="107">
        <f>4760+94400</f>
        <v>99160</v>
      </c>
      <c r="E178" s="107"/>
      <c r="F178" s="104">
        <f t="shared" si="18"/>
        <v>99160</v>
      </c>
      <c r="G178" s="106"/>
      <c r="H178" s="106"/>
      <c r="I178" s="105">
        <f t="shared" si="19"/>
        <v>99160</v>
      </c>
    </row>
    <row r="179" spans="1:9" ht="13.5">
      <c r="A179" s="18" t="s">
        <v>59</v>
      </c>
      <c r="B179" s="19"/>
      <c r="C179" s="107"/>
      <c r="D179" s="107">
        <f>1610+3116+1689+8157+20160</f>
        <v>34732</v>
      </c>
      <c r="E179" s="107"/>
      <c r="F179" s="104">
        <f t="shared" si="18"/>
        <v>34732</v>
      </c>
      <c r="G179" s="106"/>
      <c r="H179" s="106"/>
      <c r="I179" s="105">
        <f t="shared" si="19"/>
        <v>34732</v>
      </c>
    </row>
    <row r="180" spans="1:9" ht="13.5">
      <c r="A180" s="18" t="s">
        <v>165</v>
      </c>
      <c r="B180" s="19"/>
      <c r="C180" s="107"/>
      <c r="D180" s="107">
        <f>36901.72+4048.78+48998.78+9641.28+10168.78+13970.3+4048.78+18941.8+40431.38+40179.16+4048.78+2710+23040+4048.78+4048.78</f>
        <v>265227.10000000003</v>
      </c>
      <c r="E180" s="107"/>
      <c r="F180" s="104">
        <f t="shared" si="18"/>
        <v>265227.10000000003</v>
      </c>
      <c r="G180" s="106"/>
      <c r="H180" s="106">
        <v>92746</v>
      </c>
      <c r="I180" s="105">
        <f t="shared" si="19"/>
        <v>357973.10000000003</v>
      </c>
    </row>
    <row r="181" spans="1:9" ht="13.5">
      <c r="A181" s="18" t="s">
        <v>167</v>
      </c>
      <c r="B181" s="19"/>
      <c r="C181" s="107"/>
      <c r="D181" s="107">
        <f>55656.5+6320+42098+30354+376.5+36470.9+4684+32216.4-49676.3+10200-10200</f>
        <v>158500</v>
      </c>
      <c r="E181" s="107"/>
      <c r="F181" s="104">
        <f t="shared" si="18"/>
        <v>158500</v>
      </c>
      <c r="G181" s="106"/>
      <c r="H181" s="106"/>
      <c r="I181" s="105">
        <f t="shared" si="19"/>
        <v>158500</v>
      </c>
    </row>
    <row r="182" spans="1:9" ht="13.5">
      <c r="A182" s="18" t="s">
        <v>61</v>
      </c>
      <c r="B182" s="19"/>
      <c r="C182" s="107"/>
      <c r="D182" s="107">
        <f>3629+32440+111125.69+71248.5+103550.54-100300+36582.64+2220+18620+9333.5+59844+64581+35913+42905.95+105678+236681+540737.61+96971.81+3500+5000+5000</f>
        <v>1485262.2400000002</v>
      </c>
      <c r="E182" s="107"/>
      <c r="F182" s="104">
        <f t="shared" si="18"/>
        <v>1485262.2400000002</v>
      </c>
      <c r="G182" s="106"/>
      <c r="H182" s="106"/>
      <c r="I182" s="105">
        <f t="shared" si="19"/>
        <v>1485262.2400000002</v>
      </c>
    </row>
    <row r="183" spans="1:9" ht="13.5">
      <c r="A183" s="18" t="s">
        <v>62</v>
      </c>
      <c r="B183" s="19"/>
      <c r="C183" s="107"/>
      <c r="D183" s="107">
        <f>179283.04+54879+36000+33505+2769+29340+13100+367466.88+71684+23227</f>
        <v>811253.92</v>
      </c>
      <c r="E183" s="107"/>
      <c r="F183" s="104">
        <f t="shared" si="18"/>
        <v>811253.92</v>
      </c>
      <c r="G183" s="106"/>
      <c r="H183" s="106"/>
      <c r="I183" s="105">
        <f t="shared" si="19"/>
        <v>811253.92</v>
      </c>
    </row>
    <row r="184" spans="1:9" ht="13.5">
      <c r="A184" s="18" t="s">
        <v>172</v>
      </c>
      <c r="B184" s="19"/>
      <c r="C184" s="107"/>
      <c r="D184" s="107">
        <f>127107.58+79033.24+14598.5+10235+1840+14860+5170+5400</f>
        <v>258244.32</v>
      </c>
      <c r="E184" s="107"/>
      <c r="F184" s="104">
        <f t="shared" si="18"/>
        <v>258244.32</v>
      </c>
      <c r="G184" s="106"/>
      <c r="H184" s="106"/>
      <c r="I184" s="105">
        <f t="shared" si="19"/>
        <v>258244.32</v>
      </c>
    </row>
    <row r="185" spans="1:9" ht="13.5">
      <c r="A185" s="18" t="s">
        <v>115</v>
      </c>
      <c r="B185" s="19"/>
      <c r="C185" s="107"/>
      <c r="D185" s="107">
        <f>41817+10060+595+1520+5136+22609.75+40+16190.23</f>
        <v>97967.98</v>
      </c>
      <c r="E185" s="107"/>
      <c r="F185" s="104">
        <f t="shared" si="18"/>
        <v>97967.98</v>
      </c>
      <c r="G185" s="106"/>
      <c r="H185" s="106"/>
      <c r="I185" s="105">
        <f t="shared" si="19"/>
        <v>97967.98</v>
      </c>
    </row>
    <row r="186" spans="1:9" ht="13.5">
      <c r="A186" s="18" t="s">
        <v>229</v>
      </c>
      <c r="B186" s="19"/>
      <c r="C186" s="107"/>
      <c r="D186" s="107">
        <v>34800</v>
      </c>
      <c r="E186" s="107"/>
      <c r="F186" s="104">
        <f t="shared" si="18"/>
        <v>34800</v>
      </c>
      <c r="G186" s="106"/>
      <c r="H186" s="106"/>
      <c r="I186" s="105">
        <f t="shared" si="19"/>
        <v>34800</v>
      </c>
    </row>
    <row r="187" spans="1:9" ht="13.5">
      <c r="A187" s="18" t="s">
        <v>63</v>
      </c>
      <c r="B187" s="19"/>
      <c r="C187" s="107"/>
      <c r="D187" s="107">
        <f>20996.9+55935+1934+6065+1836.75+26+11200</f>
        <v>97993.65</v>
      </c>
      <c r="E187" s="107"/>
      <c r="F187" s="104">
        <f t="shared" si="18"/>
        <v>97993.65</v>
      </c>
      <c r="G187" s="106"/>
      <c r="H187" s="106"/>
      <c r="I187" s="105">
        <f t="shared" si="19"/>
        <v>97993.65</v>
      </c>
    </row>
    <row r="188" spans="1:9" ht="13.5">
      <c r="A188" s="18" t="s">
        <v>64</v>
      </c>
      <c r="B188" s="19"/>
      <c r="C188" s="107"/>
      <c r="D188" s="107">
        <f>40800+40800+95141.75+63435+4393+93000+37300+73100+10340+1100+67200+1000</f>
        <v>527609.75</v>
      </c>
      <c r="E188" s="107"/>
      <c r="F188" s="104">
        <f t="shared" si="18"/>
        <v>527609.75</v>
      </c>
      <c r="G188" s="106"/>
      <c r="H188" s="106"/>
      <c r="I188" s="105">
        <f t="shared" si="19"/>
        <v>527609.75</v>
      </c>
    </row>
    <row r="189" spans="1:9" ht="13.5">
      <c r="A189" s="18" t="s">
        <v>200</v>
      </c>
      <c r="B189" s="19"/>
      <c r="C189" s="107"/>
      <c r="D189" s="107">
        <f>63449.99+21949.99+398999.99+80329.43+13149.99+6650+51499.99+149846.27+22549.99+32071.99+203509.24+376231.99+156758.74+4500+1490</f>
        <v>1582987.5999999999</v>
      </c>
      <c r="E189" s="107"/>
      <c r="F189" s="104">
        <f t="shared" si="18"/>
        <v>1582987.5999999999</v>
      </c>
      <c r="G189" s="106"/>
      <c r="H189" s="106"/>
      <c r="I189" s="105">
        <f t="shared" si="19"/>
        <v>1582987.5999999999</v>
      </c>
    </row>
    <row r="190" spans="1:9" ht="13.5">
      <c r="A190" s="18" t="s">
        <v>78</v>
      </c>
      <c r="B190" s="19"/>
      <c r="C190" s="107"/>
      <c r="D190" s="107">
        <f>49046+38204.54+73662.18+262214.13+59271.19+14637+312499.88+134130+10584.93+46036+29261+121052.88+82661.18+78162.62+11750+3000</f>
        <v>1326173.5299999998</v>
      </c>
      <c r="E190" s="107"/>
      <c r="F190" s="104">
        <f t="shared" si="18"/>
        <v>1326173.5299999998</v>
      </c>
      <c r="G190" s="106"/>
      <c r="H190" s="106"/>
      <c r="I190" s="105">
        <f t="shared" si="19"/>
        <v>1326173.5299999998</v>
      </c>
    </row>
    <row r="191" spans="1:9" ht="13.5">
      <c r="A191" s="18" t="s">
        <v>169</v>
      </c>
      <c r="B191" s="19"/>
      <c r="C191" s="107"/>
      <c r="D191" s="107">
        <f>16986.12+11264.88+12766.12+263234.76+6200+8725.18+108400+32750+10679.24-63835+27184.55+11832.99+14812.7+31024.9-186226.44+23300.34-23300.34+3043.66-2043.66</f>
        <v>306800</v>
      </c>
      <c r="E191" s="107"/>
      <c r="F191" s="104">
        <f t="shared" si="18"/>
        <v>306800</v>
      </c>
      <c r="G191" s="106"/>
      <c r="H191" s="106"/>
      <c r="I191" s="105">
        <f t="shared" si="19"/>
        <v>306800</v>
      </c>
    </row>
    <row r="192" spans="1:9" ht="13.5">
      <c r="A192" s="18" t="s">
        <v>170</v>
      </c>
      <c r="B192" s="19"/>
      <c r="C192" s="107"/>
      <c r="D192" s="107">
        <f>26577.78+22976.13+14380.67+18086.84+38498.95+12190.31+115539.4+10488.23+17289.78-121271.35+19841.33+124020+15892.63+27095.3+10375.9+56711.73+2000</f>
        <v>410693.62999999995</v>
      </c>
      <c r="E192" s="107"/>
      <c r="F192" s="104">
        <f t="shared" si="18"/>
        <v>410693.62999999995</v>
      </c>
      <c r="G192" s="106"/>
      <c r="H192" s="106"/>
      <c r="I192" s="105">
        <f t="shared" si="19"/>
        <v>410693.62999999995</v>
      </c>
    </row>
    <row r="193" spans="1:9" ht="13.5">
      <c r="A193" s="18" t="s">
        <v>171</v>
      </c>
      <c r="B193" s="19"/>
      <c r="C193" s="107"/>
      <c r="D193" s="107">
        <f>1531.5+45655.15+55671.26+35185</f>
        <v>138042.91</v>
      </c>
      <c r="E193" s="107"/>
      <c r="F193" s="104">
        <f t="shared" si="18"/>
        <v>138042.91</v>
      </c>
      <c r="G193" s="106"/>
      <c r="H193" s="106"/>
      <c r="I193" s="105">
        <f t="shared" si="19"/>
        <v>138042.91</v>
      </c>
    </row>
    <row r="194" spans="1:9" ht="13.5">
      <c r="A194" s="18" t="s">
        <v>222</v>
      </c>
      <c r="B194" s="195"/>
      <c r="C194" s="107"/>
      <c r="D194" s="107"/>
      <c r="E194" s="107"/>
      <c r="F194" s="104"/>
      <c r="G194" s="106"/>
      <c r="H194" s="106"/>
      <c r="I194" s="105"/>
    </row>
    <row r="195" spans="1:9" ht="13.5">
      <c r="A195" s="173" t="s">
        <v>69</v>
      </c>
      <c r="B195" s="180"/>
      <c r="C195" s="107"/>
      <c r="D195" s="107">
        <f>22816+4813+32500+62360+18000+330</f>
        <v>140819</v>
      </c>
      <c r="E195" s="107"/>
      <c r="F195" s="104">
        <f t="shared" si="18"/>
        <v>140819</v>
      </c>
      <c r="G195" s="106"/>
      <c r="H195" s="106"/>
      <c r="I195" s="105">
        <f t="shared" si="19"/>
        <v>140819</v>
      </c>
    </row>
    <row r="196" spans="1:9" ht="13.5">
      <c r="A196" s="200" t="s">
        <v>70</v>
      </c>
      <c r="B196" s="172"/>
      <c r="C196" s="107"/>
      <c r="D196" s="107">
        <f>19264.04+22876+390.72+27098.1+9063.64+19940+14970+9970+17025+22853</f>
        <v>163450.5</v>
      </c>
      <c r="E196" s="107"/>
      <c r="F196" s="104">
        <f t="shared" si="18"/>
        <v>163450.5</v>
      </c>
      <c r="G196" s="106"/>
      <c r="H196" s="106"/>
      <c r="I196" s="105">
        <f t="shared" si="19"/>
        <v>163450.5</v>
      </c>
    </row>
    <row r="197" spans="1:9" ht="13.5">
      <c r="A197" s="197" t="s">
        <v>71</v>
      </c>
      <c r="B197" s="172"/>
      <c r="C197" s="107"/>
      <c r="D197" s="107">
        <f>84480+21000+25000+2984+500+63800+84800+13380</f>
        <v>295944</v>
      </c>
      <c r="E197" s="107"/>
      <c r="F197" s="104">
        <f t="shared" si="18"/>
        <v>295944</v>
      </c>
      <c r="G197" s="106"/>
      <c r="H197" s="106"/>
      <c r="I197" s="105">
        <f t="shared" si="19"/>
        <v>295944</v>
      </c>
    </row>
    <row r="198" spans="1:9" ht="13.5">
      <c r="A198" s="201" t="s">
        <v>72</v>
      </c>
      <c r="B198" s="201"/>
      <c r="C198" s="199"/>
      <c r="D198" s="107">
        <f>130010+52800+918364+97560+792504+171200+125347+985408+192096+1136333+157039+59200+916908+95276+420+73040</f>
        <v>5903505</v>
      </c>
      <c r="E198" s="107"/>
      <c r="F198" s="115">
        <f t="shared" si="18"/>
        <v>5903505</v>
      </c>
      <c r="G198" s="106"/>
      <c r="H198" s="106"/>
      <c r="I198" s="106">
        <f t="shared" si="19"/>
        <v>5903505</v>
      </c>
    </row>
    <row r="199" spans="1:9" ht="13.5">
      <c r="A199" s="197" t="s">
        <v>201</v>
      </c>
      <c r="B199" s="172"/>
      <c r="C199" s="98"/>
      <c r="D199" s="98">
        <f>150480+84210.45+76000</f>
        <v>310690.45</v>
      </c>
      <c r="E199" s="98"/>
      <c r="F199" s="115">
        <f t="shared" si="18"/>
        <v>310690.45</v>
      </c>
      <c r="G199" s="116"/>
      <c r="H199" s="116"/>
      <c r="I199" s="106">
        <f t="shared" si="19"/>
        <v>310690.45</v>
      </c>
    </row>
    <row r="200" spans="1:9" ht="13.5">
      <c r="A200" s="197" t="s">
        <v>202</v>
      </c>
      <c r="B200" s="172"/>
      <c r="C200" s="98"/>
      <c r="D200" s="98"/>
      <c r="E200" s="98"/>
      <c r="F200" s="115">
        <f t="shared" si="18"/>
        <v>0</v>
      </c>
      <c r="G200" s="116"/>
      <c r="H200" s="116"/>
      <c r="I200" s="106">
        <f t="shared" si="19"/>
        <v>0</v>
      </c>
    </row>
    <row r="201" spans="1:9" ht="13.5">
      <c r="A201" s="197" t="s">
        <v>203</v>
      </c>
      <c r="B201" s="172"/>
      <c r="C201" s="98"/>
      <c r="D201" s="98"/>
      <c r="E201" s="98"/>
      <c r="F201" s="115">
        <f t="shared" si="18"/>
        <v>0</v>
      </c>
      <c r="G201" s="116"/>
      <c r="H201" s="116"/>
      <c r="I201" s="106">
        <f t="shared" si="19"/>
        <v>0</v>
      </c>
    </row>
    <row r="202" spans="1:9" ht="13.5">
      <c r="A202" s="197" t="s">
        <v>221</v>
      </c>
      <c r="B202" s="172"/>
      <c r="C202" s="98"/>
      <c r="D202" s="98">
        <f>3760.45+80450-84210.45</f>
        <v>0</v>
      </c>
      <c r="E202" s="98"/>
      <c r="F202" s="115">
        <f t="shared" si="18"/>
        <v>0</v>
      </c>
      <c r="G202" s="116"/>
      <c r="H202" s="116"/>
      <c r="I202" s="106">
        <f t="shared" si="19"/>
        <v>0</v>
      </c>
    </row>
    <row r="203" spans="1:9" ht="13.5">
      <c r="A203" s="197" t="s">
        <v>204</v>
      </c>
      <c r="B203" s="172"/>
      <c r="C203" s="98"/>
      <c r="D203" s="98"/>
      <c r="E203" s="98"/>
      <c r="F203" s="115">
        <f t="shared" si="18"/>
        <v>0</v>
      </c>
      <c r="G203" s="116"/>
      <c r="H203" s="116"/>
      <c r="I203" s="106">
        <f t="shared" si="19"/>
        <v>0</v>
      </c>
    </row>
    <row r="204" spans="1:9" ht="13.5">
      <c r="A204" s="197" t="s">
        <v>205</v>
      </c>
      <c r="B204" s="172"/>
      <c r="C204" s="98"/>
      <c r="D204" s="98"/>
      <c r="E204" s="98"/>
      <c r="F204" s="115">
        <f t="shared" si="18"/>
        <v>0</v>
      </c>
      <c r="G204" s="116"/>
      <c r="H204" s="116"/>
      <c r="I204" s="106">
        <f t="shared" si="19"/>
        <v>0</v>
      </c>
    </row>
    <row r="205" spans="1:9" ht="13.5">
      <c r="A205" s="197" t="s">
        <v>206</v>
      </c>
      <c r="B205" s="172"/>
      <c r="C205" s="98"/>
      <c r="D205" s="98"/>
      <c r="E205" s="98"/>
      <c r="F205" s="115">
        <f t="shared" si="18"/>
        <v>0</v>
      </c>
      <c r="G205" s="116"/>
      <c r="H205" s="116"/>
      <c r="I205" s="106">
        <f t="shared" si="19"/>
        <v>0</v>
      </c>
    </row>
    <row r="206" spans="1:9" ht="13.5">
      <c r="A206" s="197" t="s">
        <v>207</v>
      </c>
      <c r="B206" s="172"/>
      <c r="C206" s="98"/>
      <c r="D206" s="98"/>
      <c r="E206" s="98"/>
      <c r="F206" s="115">
        <f t="shared" si="18"/>
        <v>0</v>
      </c>
      <c r="G206" s="116"/>
      <c r="H206" s="116"/>
      <c r="I206" s="106">
        <f t="shared" si="19"/>
        <v>0</v>
      </c>
    </row>
    <row r="207" spans="1:9" ht="13.5">
      <c r="A207" s="197" t="s">
        <v>208</v>
      </c>
      <c r="B207" s="172"/>
      <c r="C207" s="98"/>
      <c r="D207" s="98"/>
      <c r="E207" s="98"/>
      <c r="F207" s="115">
        <f t="shared" si="18"/>
        <v>0</v>
      </c>
      <c r="G207" s="116"/>
      <c r="H207" s="116"/>
      <c r="I207" s="106">
        <f t="shared" si="19"/>
        <v>0</v>
      </c>
    </row>
    <row r="208" spans="1:9" ht="13.5">
      <c r="A208" s="197" t="s">
        <v>209</v>
      </c>
      <c r="B208" s="172"/>
      <c r="C208" s="98"/>
      <c r="D208" s="98">
        <f>306108.44+229978.35+56250+310724.05</f>
        <v>903060.8400000001</v>
      </c>
      <c r="E208" s="98"/>
      <c r="F208" s="115">
        <f t="shared" si="18"/>
        <v>903060.8400000001</v>
      </c>
      <c r="G208" s="116"/>
      <c r="H208" s="116"/>
      <c r="I208" s="106">
        <f t="shared" si="19"/>
        <v>903060.8400000001</v>
      </c>
    </row>
    <row r="209" spans="1:9" ht="13.5">
      <c r="A209" s="197" t="s">
        <v>210</v>
      </c>
      <c r="B209" s="172"/>
      <c r="C209" s="98"/>
      <c r="D209" s="98"/>
      <c r="E209" s="98"/>
      <c r="F209" s="115">
        <f t="shared" si="18"/>
        <v>0</v>
      </c>
      <c r="G209" s="116"/>
      <c r="H209" s="116"/>
      <c r="I209" s="106">
        <f t="shared" si="19"/>
        <v>0</v>
      </c>
    </row>
    <row r="210" spans="1:9" ht="13.5">
      <c r="A210" s="197" t="s">
        <v>211</v>
      </c>
      <c r="B210" s="172"/>
      <c r="C210" s="98"/>
      <c r="D210" s="98"/>
      <c r="E210" s="98"/>
      <c r="F210" s="115">
        <f t="shared" si="18"/>
        <v>0</v>
      </c>
      <c r="G210" s="116"/>
      <c r="H210" s="116"/>
      <c r="I210" s="106">
        <f t="shared" si="19"/>
        <v>0</v>
      </c>
    </row>
    <row r="211" spans="1:9" ht="13.5">
      <c r="A211" s="197" t="s">
        <v>212</v>
      </c>
      <c r="B211" s="172"/>
      <c r="C211" s="98"/>
      <c r="D211" s="98"/>
      <c r="E211" s="98"/>
      <c r="F211" s="115">
        <f t="shared" si="18"/>
        <v>0</v>
      </c>
      <c r="G211" s="116"/>
      <c r="H211" s="116"/>
      <c r="I211" s="106">
        <f t="shared" si="19"/>
        <v>0</v>
      </c>
    </row>
    <row r="212" spans="1:9" ht="13.5">
      <c r="A212" s="197" t="s">
        <v>213</v>
      </c>
      <c r="B212" s="172"/>
      <c r="C212" s="98"/>
      <c r="D212" s="98"/>
      <c r="E212" s="98"/>
      <c r="F212" s="115">
        <f t="shared" si="18"/>
        <v>0</v>
      </c>
      <c r="G212" s="116"/>
      <c r="H212" s="116"/>
      <c r="I212" s="106">
        <f t="shared" si="19"/>
        <v>0</v>
      </c>
    </row>
    <row r="213" spans="1:9" ht="13.5">
      <c r="A213" s="197" t="s">
        <v>214</v>
      </c>
      <c r="B213" s="17"/>
      <c r="C213" s="98"/>
      <c r="D213" s="98">
        <f>55588+53950+235063+5387.52+22755.41+5448+178110+42750+12265</f>
        <v>611316.9299999999</v>
      </c>
      <c r="E213" s="98"/>
      <c r="F213" s="115">
        <f t="shared" si="18"/>
        <v>611316.9299999999</v>
      </c>
      <c r="G213" s="116"/>
      <c r="H213" s="116"/>
      <c r="I213" s="106">
        <f t="shared" si="19"/>
        <v>611316.9299999999</v>
      </c>
    </row>
    <row r="214" spans="1:9" ht="13.5">
      <c r="A214" s="197" t="s">
        <v>215</v>
      </c>
      <c r="B214" s="17"/>
      <c r="C214" s="98"/>
      <c r="D214" s="98">
        <f>116462.5+148224.7+175919.2+111000+198158.95+135814.7+14690+341601.92</f>
        <v>1241871.97</v>
      </c>
      <c r="E214" s="98"/>
      <c r="F214" s="115">
        <f t="shared" si="18"/>
        <v>1241871.97</v>
      </c>
      <c r="G214" s="116"/>
      <c r="H214" s="116"/>
      <c r="I214" s="106">
        <f t="shared" si="19"/>
        <v>1241871.97</v>
      </c>
    </row>
    <row r="215" spans="1:9" ht="13.5">
      <c r="A215" s="197" t="s">
        <v>216</v>
      </c>
      <c r="B215" s="17"/>
      <c r="C215" s="98"/>
      <c r="D215" s="98">
        <f>25875+55423.2+9497.5</f>
        <v>90795.7</v>
      </c>
      <c r="E215" s="98"/>
      <c r="F215" s="115">
        <f t="shared" si="18"/>
        <v>90795.7</v>
      </c>
      <c r="G215" s="116"/>
      <c r="H215" s="116"/>
      <c r="I215" s="106">
        <f t="shared" si="19"/>
        <v>90795.7</v>
      </c>
    </row>
    <row r="216" spans="1:9" ht="13.5">
      <c r="A216" s="197" t="s">
        <v>217</v>
      </c>
      <c r="B216" s="17"/>
      <c r="C216" s="98"/>
      <c r="D216" s="98">
        <v>2994</v>
      </c>
      <c r="E216" s="98"/>
      <c r="F216" s="115">
        <f t="shared" si="18"/>
        <v>2994</v>
      </c>
      <c r="G216" s="116"/>
      <c r="H216" s="116"/>
      <c r="I216" s="106">
        <f t="shared" si="19"/>
        <v>2994</v>
      </c>
    </row>
    <row r="217" spans="1:9" ht="13.5">
      <c r="A217" s="197" t="s">
        <v>218</v>
      </c>
      <c r="B217" s="17"/>
      <c r="C217" s="98"/>
      <c r="D217" s="98"/>
      <c r="E217" s="98"/>
      <c r="F217" s="115">
        <f t="shared" si="18"/>
        <v>0</v>
      </c>
      <c r="G217" s="116"/>
      <c r="H217" s="116"/>
      <c r="I217" s="106">
        <f t="shared" si="19"/>
        <v>0</v>
      </c>
    </row>
    <row r="218" spans="1:9" ht="13.5">
      <c r="A218" s="197" t="s">
        <v>219</v>
      </c>
      <c r="B218" s="17"/>
      <c r="C218" s="98"/>
      <c r="D218" s="98"/>
      <c r="E218" s="98"/>
      <c r="F218" s="115">
        <f t="shared" si="18"/>
        <v>0</v>
      </c>
      <c r="G218" s="116"/>
      <c r="H218" s="116"/>
      <c r="I218" s="106">
        <f t="shared" si="19"/>
        <v>0</v>
      </c>
    </row>
    <row r="219" spans="1:9" ht="13.5">
      <c r="A219" s="207" t="s">
        <v>220</v>
      </c>
      <c r="B219" s="17"/>
      <c r="C219" s="107"/>
      <c r="D219" s="107">
        <f>33000+105671.83+94412.6+4500+399811+82774.45+21500+28854.32+182144+180449.55+26303</f>
        <v>1159420.75</v>
      </c>
      <c r="E219" s="107"/>
      <c r="F219" s="205">
        <f t="shared" si="18"/>
        <v>1159420.75</v>
      </c>
      <c r="G219" s="117"/>
      <c r="H219" s="117"/>
      <c r="I219" s="206">
        <f t="shared" si="19"/>
        <v>1159420.75</v>
      </c>
    </row>
    <row r="220" spans="1:9" ht="13.5">
      <c r="A220" s="207" t="s">
        <v>237</v>
      </c>
      <c r="B220" s="17"/>
      <c r="C220" s="107"/>
      <c r="D220" s="107">
        <f>18643+9050</f>
        <v>27693</v>
      </c>
      <c r="E220" s="107"/>
      <c r="F220" s="205">
        <f t="shared" si="18"/>
        <v>27693</v>
      </c>
      <c r="G220" s="117"/>
      <c r="H220" s="117"/>
      <c r="I220" s="206">
        <f t="shared" si="19"/>
        <v>27693</v>
      </c>
    </row>
    <row r="221" spans="1:9" ht="13.5">
      <c r="A221" s="207" t="s">
        <v>245</v>
      </c>
      <c r="B221" s="17"/>
      <c r="C221" s="107"/>
      <c r="D221" s="107"/>
      <c r="E221" s="107"/>
      <c r="F221" s="116"/>
      <c r="G221" s="116"/>
      <c r="H221" s="116"/>
      <c r="I221" s="206">
        <f t="shared" si="19"/>
        <v>0</v>
      </c>
    </row>
    <row r="222" spans="1:9" ht="14.25" thickBot="1">
      <c r="A222" s="134" t="s">
        <v>228</v>
      </c>
      <c r="B222" s="134"/>
      <c r="C222" s="98"/>
      <c r="D222" s="98">
        <f>49800+155440+6096</f>
        <v>211336</v>
      </c>
      <c r="E222" s="98"/>
      <c r="F222" s="116">
        <f t="shared" si="18"/>
        <v>211336</v>
      </c>
      <c r="G222" s="116"/>
      <c r="H222" s="116"/>
      <c r="I222" s="116">
        <f t="shared" si="19"/>
        <v>211336</v>
      </c>
    </row>
    <row r="223" spans="1:9" ht="14.25" thickBot="1">
      <c r="A223" s="146" t="s">
        <v>7</v>
      </c>
      <c r="B223" s="147"/>
      <c r="C223" s="99">
        <f>SUM(C166:C219)</f>
        <v>0</v>
      </c>
      <c r="D223" s="99">
        <f>SUM(D166:D222)</f>
        <v>30630470.32</v>
      </c>
      <c r="E223" s="99">
        <f>SUM(E166:E219)</f>
        <v>0</v>
      </c>
      <c r="F223" s="99">
        <f>SUM(F166:F222)</f>
        <v>30630470.32</v>
      </c>
      <c r="G223" s="99">
        <f>SUM(G166:G222)</f>
        <v>371000.44</v>
      </c>
      <c r="H223" s="99">
        <f>SUM(H166:H222)</f>
        <v>92746</v>
      </c>
      <c r="I223" s="99">
        <f>SUM(I166:I222)</f>
        <v>31094216.759999998</v>
      </c>
    </row>
    <row r="224" spans="1:9" ht="14.25" thickBot="1">
      <c r="A224" s="146" t="s">
        <v>162</v>
      </c>
      <c r="B224" s="83"/>
      <c r="C224" s="101">
        <f aca="true" t="shared" si="20" ref="C224:I224">SUM(C223+C164+C138)</f>
        <v>23026247.349999998</v>
      </c>
      <c r="D224" s="101">
        <f t="shared" si="20"/>
        <v>48173108.52</v>
      </c>
      <c r="E224" s="101">
        <f t="shared" si="20"/>
        <v>5899200.01</v>
      </c>
      <c r="F224" s="101">
        <f t="shared" si="20"/>
        <v>77098555.88000001</v>
      </c>
      <c r="G224" s="101">
        <f t="shared" si="20"/>
        <v>1399095.36</v>
      </c>
      <c r="H224" s="101">
        <f t="shared" si="20"/>
        <v>1761487</v>
      </c>
      <c r="I224" s="101">
        <f t="shared" si="20"/>
        <v>80259138.24</v>
      </c>
    </row>
    <row r="225" spans="1:9" ht="15">
      <c r="A225" s="148" t="s">
        <v>40</v>
      </c>
      <c r="B225" s="17"/>
      <c r="C225" s="88"/>
      <c r="D225" s="88"/>
      <c r="E225" s="88"/>
      <c r="F225" s="118"/>
      <c r="G225" s="119"/>
      <c r="H225" s="119"/>
      <c r="I225" s="119">
        <f aca="true" t="shared" si="21" ref="I225:I231">SUM(F225:H225)</f>
        <v>0</v>
      </c>
    </row>
    <row r="226" spans="1:9" ht="13.5">
      <c r="A226" s="20" t="s">
        <v>41</v>
      </c>
      <c r="B226" s="19"/>
      <c r="C226" s="98"/>
      <c r="D226" s="98"/>
      <c r="E226" s="98"/>
      <c r="F226" s="104">
        <f aca="true" t="shared" si="22" ref="F226:F231">SUM(C226:E226)</f>
        <v>0</v>
      </c>
      <c r="G226" s="105"/>
      <c r="H226" s="105"/>
      <c r="I226" s="105">
        <f t="shared" si="21"/>
        <v>0</v>
      </c>
    </row>
    <row r="227" spans="1:9" ht="13.5">
      <c r="A227" s="31" t="s">
        <v>116</v>
      </c>
      <c r="B227" s="19"/>
      <c r="C227" s="107"/>
      <c r="D227" s="107"/>
      <c r="E227" s="107"/>
      <c r="F227" s="104">
        <f t="shared" si="22"/>
        <v>0</v>
      </c>
      <c r="G227" s="106"/>
      <c r="H227" s="106"/>
      <c r="I227" s="106">
        <f t="shared" si="21"/>
        <v>0</v>
      </c>
    </row>
    <row r="228" spans="1:9" ht="13.5">
      <c r="A228" s="31" t="s">
        <v>174</v>
      </c>
      <c r="B228" s="19"/>
      <c r="C228" s="98"/>
      <c r="D228" s="98"/>
      <c r="E228" s="98"/>
      <c r="F228" s="104">
        <f t="shared" si="22"/>
        <v>0</v>
      </c>
      <c r="G228" s="116"/>
      <c r="H228" s="116"/>
      <c r="I228" s="106">
        <f t="shared" si="21"/>
        <v>0</v>
      </c>
    </row>
    <row r="229" spans="1:9" ht="13.5">
      <c r="A229" s="31" t="s">
        <v>185</v>
      </c>
      <c r="B229" s="19"/>
      <c r="C229" s="98"/>
      <c r="D229" s="98"/>
      <c r="E229" s="98"/>
      <c r="F229" s="104">
        <f t="shared" si="22"/>
        <v>0</v>
      </c>
      <c r="G229" s="116"/>
      <c r="H229" s="116"/>
      <c r="I229" s="106">
        <f t="shared" si="21"/>
        <v>0</v>
      </c>
    </row>
    <row r="230" spans="1:9" ht="13.5">
      <c r="A230" s="31" t="s">
        <v>186</v>
      </c>
      <c r="B230" s="19"/>
      <c r="C230" s="98">
        <v>646408.12</v>
      </c>
      <c r="D230" s="98"/>
      <c r="E230" s="98"/>
      <c r="F230" s="104">
        <f t="shared" si="22"/>
        <v>646408.12</v>
      </c>
      <c r="G230" s="116"/>
      <c r="H230" s="116"/>
      <c r="I230" s="106">
        <f t="shared" si="21"/>
        <v>646408.12</v>
      </c>
    </row>
    <row r="231" spans="1:9" ht="14.25" thickBot="1">
      <c r="A231" s="31" t="s">
        <v>187</v>
      </c>
      <c r="B231" s="19"/>
      <c r="C231" s="88"/>
      <c r="D231" s="88"/>
      <c r="E231" s="88"/>
      <c r="F231" s="104">
        <f t="shared" si="22"/>
        <v>0</v>
      </c>
      <c r="G231" s="171"/>
      <c r="H231" s="102"/>
      <c r="I231" s="106">
        <f t="shared" si="21"/>
        <v>0</v>
      </c>
    </row>
    <row r="232" spans="1:9" ht="14.25" thickBot="1">
      <c r="A232" s="18" t="s">
        <v>42</v>
      </c>
      <c r="B232" s="19"/>
      <c r="C232" s="101">
        <f aca="true" t="shared" si="23" ref="C232:I232">SUM(C226:C231)</f>
        <v>646408.12</v>
      </c>
      <c r="D232" s="101">
        <f t="shared" si="23"/>
        <v>0</v>
      </c>
      <c r="E232" s="101">
        <f t="shared" si="23"/>
        <v>0</v>
      </c>
      <c r="F232" s="101">
        <f t="shared" si="23"/>
        <v>646408.12</v>
      </c>
      <c r="G232" s="101">
        <f t="shared" si="23"/>
        <v>0</v>
      </c>
      <c r="H232" s="101">
        <f t="shared" si="23"/>
        <v>0</v>
      </c>
      <c r="I232" s="101">
        <f t="shared" si="23"/>
        <v>646408.12</v>
      </c>
    </row>
    <row r="233" spans="1:9" ht="13.5">
      <c r="A233" s="18" t="s">
        <v>43</v>
      </c>
      <c r="B233" s="19"/>
      <c r="C233" s="88"/>
      <c r="D233" s="88"/>
      <c r="E233" s="88"/>
      <c r="F233" s="118">
        <f>SUM(C233:E233)</f>
        <v>0</v>
      </c>
      <c r="G233" s="119"/>
      <c r="H233" s="119"/>
      <c r="I233" s="119">
        <f aca="true" t="shared" si="24" ref="I233:I246">SUM(F233:H233)</f>
        <v>0</v>
      </c>
    </row>
    <row r="234" spans="1:9" ht="13.5">
      <c r="A234" s="30" t="s">
        <v>175</v>
      </c>
      <c r="B234" s="19"/>
      <c r="C234" s="98">
        <v>298993.24</v>
      </c>
      <c r="D234" s="98"/>
      <c r="E234" s="98"/>
      <c r="F234" s="104">
        <f>SUM(C234:E234)</f>
        <v>298993.24</v>
      </c>
      <c r="G234" s="116"/>
      <c r="H234" s="116"/>
      <c r="I234" s="106">
        <f t="shared" si="24"/>
        <v>298993.24</v>
      </c>
    </row>
    <row r="235" spans="1:9" ht="13.5">
      <c r="A235" s="30" t="s">
        <v>176</v>
      </c>
      <c r="B235" s="19"/>
      <c r="C235" s="98"/>
      <c r="D235" s="98">
        <v>539592.58</v>
      </c>
      <c r="E235" s="98"/>
      <c r="F235" s="104">
        <f aca="true" t="shared" si="25" ref="F235:F241">SUM(C235:E235)</f>
        <v>539592.58</v>
      </c>
      <c r="G235" s="116"/>
      <c r="H235" s="116"/>
      <c r="I235" s="106">
        <f t="shared" si="24"/>
        <v>539592.58</v>
      </c>
    </row>
    <row r="236" spans="1:9" ht="13.5">
      <c r="A236" s="30" t="s">
        <v>177</v>
      </c>
      <c r="B236" s="19"/>
      <c r="C236" s="98"/>
      <c r="D236" s="98"/>
      <c r="E236" s="98"/>
      <c r="F236" s="104">
        <f t="shared" si="25"/>
        <v>0</v>
      </c>
      <c r="G236" s="116"/>
      <c r="H236" s="116"/>
      <c r="I236" s="106">
        <f t="shared" si="24"/>
        <v>0</v>
      </c>
    </row>
    <row r="237" spans="1:9" ht="13.5">
      <c r="A237" s="30" t="s">
        <v>178</v>
      </c>
      <c r="B237" s="19"/>
      <c r="C237" s="98"/>
      <c r="D237" s="98"/>
      <c r="E237" s="98"/>
      <c r="F237" s="104">
        <f t="shared" si="25"/>
        <v>0</v>
      </c>
      <c r="G237" s="117"/>
      <c r="H237" s="117"/>
      <c r="I237" s="106">
        <f t="shared" si="24"/>
        <v>0</v>
      </c>
    </row>
    <row r="238" spans="1:9" ht="13.5">
      <c r="A238" s="18" t="s">
        <v>180</v>
      </c>
      <c r="B238" s="19"/>
      <c r="C238" s="98"/>
      <c r="D238" s="98"/>
      <c r="E238" s="98"/>
      <c r="F238" s="104">
        <f t="shared" si="25"/>
        <v>0</v>
      </c>
      <c r="G238" s="117"/>
      <c r="H238" s="117"/>
      <c r="I238" s="106">
        <f t="shared" si="24"/>
        <v>0</v>
      </c>
    </row>
    <row r="239" spans="1:9" ht="13.5">
      <c r="A239" s="30" t="s">
        <v>195</v>
      </c>
      <c r="B239" s="19"/>
      <c r="C239" s="88"/>
      <c r="D239" s="88"/>
      <c r="E239" s="88"/>
      <c r="F239" s="104">
        <f t="shared" si="25"/>
        <v>0</v>
      </c>
      <c r="G239" s="117"/>
      <c r="H239" s="117"/>
      <c r="I239" s="106">
        <f t="shared" si="24"/>
        <v>0</v>
      </c>
    </row>
    <row r="240" spans="1:9" ht="13.5">
      <c r="A240" s="30" t="s">
        <v>188</v>
      </c>
      <c r="B240" s="19"/>
      <c r="C240" s="98"/>
      <c r="D240" s="98"/>
      <c r="E240" s="98"/>
      <c r="F240" s="104">
        <f t="shared" si="25"/>
        <v>0</v>
      </c>
      <c r="G240" s="116"/>
      <c r="H240" s="116"/>
      <c r="I240" s="106">
        <f t="shared" si="24"/>
        <v>0</v>
      </c>
    </row>
    <row r="241" spans="1:9" ht="13.5">
      <c r="A241" s="30" t="s">
        <v>189</v>
      </c>
      <c r="B241" s="19"/>
      <c r="C241" s="98"/>
      <c r="D241" s="98"/>
      <c r="E241" s="98"/>
      <c r="F241" s="104">
        <f t="shared" si="25"/>
        <v>0</v>
      </c>
      <c r="G241" s="116"/>
      <c r="H241" s="116"/>
      <c r="I241" s="106">
        <f t="shared" si="24"/>
        <v>0</v>
      </c>
    </row>
    <row r="242" spans="1:9" ht="13.5">
      <c r="A242" s="30" t="s">
        <v>190</v>
      </c>
      <c r="B242" s="19"/>
      <c r="C242" s="98"/>
      <c r="D242" s="98"/>
      <c r="E242" s="98"/>
      <c r="F242" s="115">
        <f>SUM(C242:E242)</f>
        <v>0</v>
      </c>
      <c r="G242" s="116"/>
      <c r="H242" s="116"/>
      <c r="I242" s="106">
        <f t="shared" si="24"/>
        <v>0</v>
      </c>
    </row>
    <row r="243" spans="1:9" ht="13.5">
      <c r="A243" s="30" t="s">
        <v>191</v>
      </c>
      <c r="B243" s="19"/>
      <c r="C243" s="98"/>
      <c r="D243" s="98"/>
      <c r="E243" s="98"/>
      <c r="F243" s="176">
        <f>SUM(C243:E243)</f>
        <v>0</v>
      </c>
      <c r="G243" s="116"/>
      <c r="H243" s="116"/>
      <c r="I243" s="115">
        <f t="shared" si="24"/>
        <v>0</v>
      </c>
    </row>
    <row r="244" spans="1:9" ht="13.5">
      <c r="A244" s="30" t="s">
        <v>192</v>
      </c>
      <c r="B244" s="19"/>
      <c r="C244" s="100"/>
      <c r="D244" s="100"/>
      <c r="E244" s="100"/>
      <c r="F244" s="176">
        <f>SUM(C244:E244)</f>
        <v>0</v>
      </c>
      <c r="G244" s="116"/>
      <c r="H244" s="116"/>
      <c r="I244" s="178">
        <f t="shared" si="24"/>
        <v>0</v>
      </c>
    </row>
    <row r="245" spans="1:9" ht="13.5">
      <c r="A245" s="30" t="s">
        <v>194</v>
      </c>
      <c r="B245" s="19"/>
      <c r="C245" s="98"/>
      <c r="D245" s="98"/>
      <c r="E245" s="98"/>
      <c r="F245" s="179">
        <f>SUM(C245:E245)</f>
        <v>0</v>
      </c>
      <c r="G245" s="116"/>
      <c r="H245" s="116"/>
      <c r="I245" s="178">
        <f t="shared" si="24"/>
        <v>0</v>
      </c>
    </row>
    <row r="246" spans="1:9" ht="14.25" thickBot="1">
      <c r="A246" s="30" t="s">
        <v>193</v>
      </c>
      <c r="B246" s="19"/>
      <c r="C246" s="88"/>
      <c r="D246" s="88"/>
      <c r="E246" s="88"/>
      <c r="F246" s="177">
        <f>SUM(C246:E246)</f>
        <v>0</v>
      </c>
      <c r="G246" s="174"/>
      <c r="H246" s="174"/>
      <c r="I246" s="178">
        <f t="shared" si="24"/>
        <v>0</v>
      </c>
    </row>
    <row r="247" spans="1:9" ht="14.25" thickBot="1">
      <c r="A247" s="18" t="s">
        <v>42</v>
      </c>
      <c r="B247" s="19"/>
      <c r="C247" s="101">
        <f aca="true" t="shared" si="26" ref="C247:I247">SUM(C234:C246)</f>
        <v>298993.24</v>
      </c>
      <c r="D247" s="101">
        <f t="shared" si="26"/>
        <v>539592.58</v>
      </c>
      <c r="E247" s="101">
        <f t="shared" si="26"/>
        <v>0</v>
      </c>
      <c r="F247" s="101">
        <f t="shared" si="26"/>
        <v>838585.82</v>
      </c>
      <c r="G247" s="101">
        <f t="shared" si="26"/>
        <v>0</v>
      </c>
      <c r="H247" s="101">
        <f t="shared" si="26"/>
        <v>0</v>
      </c>
      <c r="I247" s="101">
        <f t="shared" si="26"/>
        <v>838585.82</v>
      </c>
    </row>
    <row r="248" spans="1:9" ht="13.5">
      <c r="A248" s="173" t="s">
        <v>48</v>
      </c>
      <c r="B248" s="180"/>
      <c r="C248" s="88">
        <f>62646+11000+11968+87820+54817.5+221430+166000+66300+18480+97400+59404.25+910886.32+32895+79500+27650</f>
        <v>1908197.0699999998</v>
      </c>
      <c r="D248" s="88">
        <f>995000+21800+93875</f>
        <v>1110675</v>
      </c>
      <c r="E248" s="182">
        <f>14000+15600+34800+57900+18250</f>
        <v>140550</v>
      </c>
      <c r="F248" s="118">
        <f>SUM(C248:E248)</f>
        <v>3159422.07</v>
      </c>
      <c r="G248" s="119">
        <v>152109</v>
      </c>
      <c r="H248" s="119"/>
      <c r="I248" s="183">
        <f>SUM(F248:H248)</f>
        <v>3311531.07</v>
      </c>
    </row>
    <row r="249" spans="1:9" ht="14.25" thickBot="1">
      <c r="A249" s="181" t="s">
        <v>196</v>
      </c>
      <c r="B249" s="172"/>
      <c r="C249" s="175"/>
      <c r="D249" s="98"/>
      <c r="E249" s="98"/>
      <c r="F249" s="116">
        <f>SUM(C249:E249)</f>
        <v>0</v>
      </c>
      <c r="G249" s="116"/>
      <c r="H249" s="116"/>
      <c r="I249" s="184">
        <f>SUM(F249:H249)</f>
        <v>0</v>
      </c>
    </row>
    <row r="250" spans="1:9" ht="14.25" thickBot="1">
      <c r="A250" s="82" t="s">
        <v>117</v>
      </c>
      <c r="B250" s="83"/>
      <c r="C250" s="92">
        <f aca="true" t="shared" si="27" ref="C250:I250">SUM(C248+C249+C247+C232)</f>
        <v>2853598.4299999997</v>
      </c>
      <c r="D250" s="92">
        <f t="shared" si="27"/>
        <v>1650267.58</v>
      </c>
      <c r="E250" s="92">
        <f t="shared" si="27"/>
        <v>140550</v>
      </c>
      <c r="F250" s="92">
        <f t="shared" si="27"/>
        <v>4644416.01</v>
      </c>
      <c r="G250" s="92">
        <f t="shared" si="27"/>
        <v>152109</v>
      </c>
      <c r="H250" s="92">
        <f t="shared" si="27"/>
        <v>0</v>
      </c>
      <c r="I250" s="92">
        <f t="shared" si="27"/>
        <v>4796525.01</v>
      </c>
    </row>
    <row r="251" spans="1:9" ht="15">
      <c r="A251" s="84" t="s">
        <v>118</v>
      </c>
      <c r="B251" s="81"/>
      <c r="C251" s="100"/>
      <c r="D251" s="100"/>
      <c r="E251" s="100"/>
      <c r="F251" s="112"/>
      <c r="G251" s="113"/>
      <c r="H251" s="113"/>
      <c r="I251" s="113"/>
    </row>
    <row r="252" spans="1:9" ht="13.5">
      <c r="A252" s="18" t="s">
        <v>119</v>
      </c>
      <c r="B252" s="19"/>
      <c r="C252" s="100"/>
      <c r="D252" s="100"/>
      <c r="E252" s="100">
        <f>49986+54860+51762+129705.5+42495.8+29294+46668+15030+39241.41+49098+86737+81337+3678+4802+2744+3542</f>
        <v>690980.71</v>
      </c>
      <c r="F252" s="112">
        <f>SUM(C252:E252)</f>
        <v>690980.71</v>
      </c>
      <c r="G252" s="113"/>
      <c r="H252" s="113"/>
      <c r="I252" s="113">
        <f>SUM(H252+G252+F252)</f>
        <v>690980.71</v>
      </c>
    </row>
    <row r="253" spans="1:9" ht="13.5">
      <c r="A253" s="18" t="s">
        <v>120</v>
      </c>
      <c r="B253" s="19"/>
      <c r="C253" s="100"/>
      <c r="D253" s="100"/>
      <c r="E253" s="100">
        <f>10120+34624+22264+19734+22264+10120+8602.2+10626+25300+44914+12144+23276</f>
        <v>243988.2</v>
      </c>
      <c r="F253" s="112">
        <f>SUM(C253:E253)</f>
        <v>243988.2</v>
      </c>
      <c r="G253" s="113"/>
      <c r="H253" s="113"/>
      <c r="I253" s="113">
        <f>SUM(H253+G253+F253)</f>
        <v>243988.2</v>
      </c>
    </row>
    <row r="254" spans="1:9" ht="14.25" thickBot="1">
      <c r="A254" s="18" t="s">
        <v>179</v>
      </c>
      <c r="B254" s="19"/>
      <c r="C254" s="98"/>
      <c r="D254" s="100">
        <f>100302.25</f>
        <v>100302.25</v>
      </c>
      <c r="E254" s="100"/>
      <c r="F254" s="112">
        <f>SUM(C254:E254)</f>
        <v>100302.25</v>
      </c>
      <c r="G254" s="105"/>
      <c r="H254" s="105"/>
      <c r="I254" s="113">
        <f>SUM(H254+G254+F254)</f>
        <v>100302.25</v>
      </c>
    </row>
    <row r="255" spans="1:9" ht="15.75" thickBot="1">
      <c r="A255" s="22" t="s">
        <v>121</v>
      </c>
      <c r="B255" s="19"/>
      <c r="C255" s="101">
        <f aca="true" t="shared" si="28" ref="C255:I255">SUM(C251:C254)</f>
        <v>0</v>
      </c>
      <c r="D255" s="101">
        <f t="shared" si="28"/>
        <v>100302.25</v>
      </c>
      <c r="E255" s="101">
        <f t="shared" si="28"/>
        <v>934968.9099999999</v>
      </c>
      <c r="F255" s="101">
        <f t="shared" si="28"/>
        <v>1035271.1599999999</v>
      </c>
      <c r="G255" s="101">
        <f t="shared" si="28"/>
        <v>0</v>
      </c>
      <c r="H255" s="101">
        <f t="shared" si="28"/>
        <v>0</v>
      </c>
      <c r="I255" s="101">
        <f t="shared" si="28"/>
        <v>1035271.1599999999</v>
      </c>
    </row>
    <row r="256" spans="1:9" ht="13.5" thickBot="1">
      <c r="A256" s="34" t="s">
        <v>122</v>
      </c>
      <c r="B256" s="35"/>
      <c r="C256" s="99">
        <f>SUM(C255+C250+C224)</f>
        <v>25879845.779999997</v>
      </c>
      <c r="D256" s="99">
        <f aca="true" t="shared" si="29" ref="D256:I256">SUM(D255+D250+D224)</f>
        <v>49923678.35</v>
      </c>
      <c r="E256" s="99">
        <f t="shared" si="29"/>
        <v>6974718.92</v>
      </c>
      <c r="F256" s="99">
        <f t="shared" si="29"/>
        <v>82778243.05000001</v>
      </c>
      <c r="G256" s="99">
        <f t="shared" si="29"/>
        <v>1551204.36</v>
      </c>
      <c r="H256" s="99">
        <f t="shared" si="29"/>
        <v>1761487</v>
      </c>
      <c r="I256" s="99">
        <f t="shared" si="29"/>
        <v>86090934.41</v>
      </c>
    </row>
    <row r="257" spans="1:9" ht="12.75">
      <c r="A257" s="36" t="s">
        <v>123</v>
      </c>
      <c r="B257" s="33"/>
      <c r="C257" s="100"/>
      <c r="D257" s="100"/>
      <c r="E257" s="100"/>
      <c r="F257" s="100"/>
      <c r="G257" s="120"/>
      <c r="H257" s="120"/>
      <c r="I257" s="120"/>
    </row>
    <row r="258" spans="1:9" ht="12.75">
      <c r="A258" s="37" t="s">
        <v>80</v>
      </c>
      <c r="B258" s="32"/>
      <c r="C258" s="98">
        <f>111978.78+288604.78+206587.89+16353.78+58780+217646+14916.33-8059-15000+41918.02+73165.65+188577.8+19323+69068.42</f>
        <v>1283861.45</v>
      </c>
      <c r="D258" s="98"/>
      <c r="E258" s="98"/>
      <c r="F258" s="116">
        <f>SUM(C258:E258)</f>
        <v>1283861.45</v>
      </c>
      <c r="G258" s="121"/>
      <c r="H258" s="121"/>
      <c r="I258" s="121">
        <f>SUM(F258:H258)</f>
        <v>1283861.45</v>
      </c>
    </row>
    <row r="259" spans="1:9" ht="13.5" thickBot="1">
      <c r="A259" s="40" t="s">
        <v>81</v>
      </c>
      <c r="B259" s="33"/>
      <c r="C259" s="100"/>
      <c r="D259" s="100"/>
      <c r="E259" s="100"/>
      <c r="F259" s="116">
        <f>SUM(C259:E259)</f>
        <v>0</v>
      </c>
      <c r="G259" s="120"/>
      <c r="H259" s="120"/>
      <c r="I259" s="120">
        <f>SUM(F259)</f>
        <v>0</v>
      </c>
    </row>
    <row r="260" spans="1:9" ht="13.5" thickBot="1">
      <c r="A260" s="39" t="s">
        <v>51</v>
      </c>
      <c r="B260" s="38"/>
      <c r="C260" s="101">
        <f>SUM(C258:C259)</f>
        <v>1283861.45</v>
      </c>
      <c r="D260" s="92"/>
      <c r="E260" s="92">
        <f>SUM(E258:E259)</f>
        <v>0</v>
      </c>
      <c r="F260" s="101">
        <f>SUM(F258:F259)</f>
        <v>1283861.45</v>
      </c>
      <c r="G260" s="92">
        <f>SUM(G258:G259)</f>
        <v>0</v>
      </c>
      <c r="H260" s="92">
        <f>SUM(H258:H259)</f>
        <v>0</v>
      </c>
      <c r="I260" s="101">
        <f>SUM(I258:I259)</f>
        <v>1283861.45</v>
      </c>
    </row>
    <row r="261" spans="1:9" ht="13.5" thickBot="1">
      <c r="A261" s="39" t="s">
        <v>244</v>
      </c>
      <c r="B261" s="38"/>
      <c r="C261" s="122">
        <f>SUM(C260+C256)</f>
        <v>27163707.229999997</v>
      </c>
      <c r="D261" s="122">
        <f aca="true" t="shared" si="30" ref="D261:I261">SUM(D260+D256)</f>
        <v>49923678.35</v>
      </c>
      <c r="E261" s="122">
        <f t="shared" si="30"/>
        <v>6974718.92</v>
      </c>
      <c r="F261" s="122">
        <f t="shared" si="30"/>
        <v>84062104.50000001</v>
      </c>
      <c r="G261" s="122">
        <f t="shared" si="30"/>
        <v>1551204.36</v>
      </c>
      <c r="H261" s="122">
        <f t="shared" si="30"/>
        <v>1761487</v>
      </c>
      <c r="I261" s="122">
        <f t="shared" si="30"/>
        <v>87374795.86</v>
      </c>
    </row>
    <row r="262" spans="1:9" ht="13.5">
      <c r="A262" s="17"/>
      <c r="B262" s="17"/>
      <c r="C262" s="61"/>
      <c r="D262" s="61"/>
      <c r="E262" s="61"/>
      <c r="F262" s="61"/>
      <c r="G262" s="61"/>
      <c r="H262" s="61"/>
      <c r="I262" s="61"/>
    </row>
    <row r="263" spans="1:9" ht="13.5">
      <c r="A263" s="49"/>
      <c r="B263" s="41"/>
      <c r="C263" s="61"/>
      <c r="D263" s="61"/>
      <c r="E263" s="61"/>
      <c r="F263" s="102"/>
      <c r="G263" s="123"/>
      <c r="H263" s="123"/>
      <c r="I263" s="123"/>
    </row>
    <row r="264" spans="1:9" ht="20.25" thickBot="1">
      <c r="A264" s="44" t="s">
        <v>242</v>
      </c>
      <c r="B264" s="42"/>
      <c r="C264" s="126"/>
      <c r="D264" s="126"/>
      <c r="E264" s="94"/>
      <c r="F264" s="124"/>
      <c r="G264" s="124"/>
      <c r="H264" s="124"/>
      <c r="I264" s="124"/>
    </row>
    <row r="265" spans="1:9" ht="13.5">
      <c r="A265" s="16" t="s">
        <v>8</v>
      </c>
      <c r="C265" s="25"/>
      <c r="D265" s="25"/>
      <c r="E265" s="25"/>
      <c r="F265" s="133">
        <f>SUM(C265:E265)</f>
        <v>0</v>
      </c>
      <c r="G265" s="138"/>
      <c r="H265" s="138"/>
      <c r="I265" s="144">
        <f>SUM(F265:H265)</f>
        <v>0</v>
      </c>
    </row>
    <row r="266" spans="1:9" ht="13.5">
      <c r="A266" s="135" t="s">
        <v>158</v>
      </c>
      <c r="B266" s="136"/>
      <c r="C266" s="25"/>
      <c r="D266" s="25"/>
      <c r="E266" s="25"/>
      <c r="F266" s="133">
        <f>SUM(C266:E266)</f>
        <v>0</v>
      </c>
      <c r="G266" s="134"/>
      <c r="H266" s="134"/>
      <c r="I266" s="145">
        <f>SUM(F266:H266)</f>
        <v>0</v>
      </c>
    </row>
    <row r="267" spans="1:9" ht="14.25" thickBot="1">
      <c r="A267" s="139" t="s">
        <v>159</v>
      </c>
      <c r="B267" s="140"/>
      <c r="C267" s="156"/>
      <c r="D267" s="108">
        <f>SUM(D9-D137)</f>
        <v>-2685.4199999999255</v>
      </c>
      <c r="E267" s="156"/>
      <c r="F267" s="157">
        <f>SUM(C267:E267)</f>
        <v>-2685.4199999999255</v>
      </c>
      <c r="G267" s="158"/>
      <c r="H267" s="158"/>
      <c r="I267" s="155">
        <f>SUM(F267:H267)</f>
        <v>-2685.4199999999255</v>
      </c>
    </row>
    <row r="268" spans="1:9" ht="14.25" thickBot="1">
      <c r="A268" s="141" t="s">
        <v>160</v>
      </c>
      <c r="B268" s="142"/>
      <c r="C268" s="92"/>
      <c r="D268" s="92">
        <f>SUM(D265:D267)</f>
        <v>-2685.4199999999255</v>
      </c>
      <c r="E268" s="159"/>
      <c r="F268" s="160">
        <f>SUM(C268:E268)</f>
        <v>-2685.4199999999255</v>
      </c>
      <c r="G268" s="161"/>
      <c r="H268" s="161"/>
      <c r="I268" s="162">
        <f>SUM(I265:I267)</f>
        <v>-2685.4199999999255</v>
      </c>
    </row>
    <row r="269" spans="1:9" ht="12.75">
      <c r="A269" s="16" t="s">
        <v>112</v>
      </c>
      <c r="C269" s="103"/>
      <c r="D269" s="103"/>
      <c r="E269" s="103"/>
      <c r="F269" s="125"/>
      <c r="G269" s="60"/>
      <c r="H269" s="60"/>
      <c r="I269" s="60"/>
    </row>
    <row r="270" spans="1:9" ht="13.5">
      <c r="A270" s="18" t="s">
        <v>9</v>
      </c>
      <c r="B270" s="19" t="s">
        <v>10</v>
      </c>
      <c r="C270" s="98">
        <f aca="true" t="shared" si="31" ref="C270:E293">SUM(C12-C140)</f>
        <v>329620.03</v>
      </c>
      <c r="D270" s="98">
        <f t="shared" si="31"/>
        <v>-157903.97999999998</v>
      </c>
      <c r="E270" s="98">
        <f t="shared" si="31"/>
        <v>-289935.02999999997</v>
      </c>
      <c r="F270" s="104">
        <f>SUM(C270:E270)</f>
        <v>-118218.97999999992</v>
      </c>
      <c r="G270" s="98">
        <f aca="true" t="shared" si="32" ref="G270:H293">SUM(G12-G140)</f>
        <v>-8657</v>
      </c>
      <c r="H270" s="98">
        <f t="shared" si="32"/>
        <v>-240241</v>
      </c>
      <c r="I270" s="105">
        <f>SUM(F270:H270)</f>
        <v>-367116.9799999999</v>
      </c>
    </row>
    <row r="271" spans="1:9" ht="13.5">
      <c r="A271" s="18" t="s">
        <v>11</v>
      </c>
      <c r="B271" s="19"/>
      <c r="C271" s="98">
        <f t="shared" si="31"/>
        <v>0</v>
      </c>
      <c r="D271" s="98">
        <f t="shared" si="31"/>
        <v>0</v>
      </c>
      <c r="E271" s="98">
        <f t="shared" si="31"/>
        <v>0</v>
      </c>
      <c r="F271" s="104">
        <f aca="true" t="shared" si="33" ref="F271:F293">SUM(C271:E271)</f>
        <v>0</v>
      </c>
      <c r="G271" s="98">
        <f t="shared" si="32"/>
        <v>0</v>
      </c>
      <c r="H271" s="98">
        <f t="shared" si="32"/>
        <v>0</v>
      </c>
      <c r="I271" s="105">
        <f>SUM(F271:H271)</f>
        <v>0</v>
      </c>
    </row>
    <row r="272" spans="1:9" ht="13.5">
      <c r="A272" s="19" t="s">
        <v>12</v>
      </c>
      <c r="C272" s="98">
        <f t="shared" si="31"/>
        <v>350706.38</v>
      </c>
      <c r="D272" s="98">
        <f t="shared" si="31"/>
        <v>718342.69</v>
      </c>
      <c r="E272" s="98">
        <f t="shared" si="31"/>
        <v>139107.5</v>
      </c>
      <c r="F272" s="104">
        <f t="shared" si="33"/>
        <v>1208156.5699999998</v>
      </c>
      <c r="G272" s="98">
        <f t="shared" si="32"/>
        <v>87891</v>
      </c>
      <c r="H272" s="98">
        <f t="shared" si="32"/>
        <v>26800</v>
      </c>
      <c r="I272" s="105">
        <f>SUM(F272:H272)</f>
        <v>1322847.5699999998</v>
      </c>
    </row>
    <row r="273" spans="1:9" ht="13.5">
      <c r="A273" s="18" t="s">
        <v>13</v>
      </c>
      <c r="B273" s="19"/>
      <c r="C273" s="98">
        <f t="shared" si="31"/>
        <v>92843</v>
      </c>
      <c r="D273" s="98">
        <f t="shared" si="31"/>
        <v>0</v>
      </c>
      <c r="E273" s="98">
        <f t="shared" si="31"/>
        <v>0</v>
      </c>
      <c r="F273" s="104">
        <f t="shared" si="33"/>
        <v>92843</v>
      </c>
      <c r="G273" s="98">
        <f t="shared" si="32"/>
        <v>0</v>
      </c>
      <c r="H273" s="98">
        <f t="shared" si="32"/>
        <v>0</v>
      </c>
      <c r="I273" s="105">
        <f aca="true" t="shared" si="34" ref="I273:I293">SUM(F273:H273)</f>
        <v>92843</v>
      </c>
    </row>
    <row r="274" spans="1:9" ht="13.5">
      <c r="A274" s="18" t="s">
        <v>14</v>
      </c>
      <c r="B274" s="19"/>
      <c r="C274" s="98">
        <f t="shared" si="31"/>
        <v>447768.6499999999</v>
      </c>
      <c r="D274" s="98">
        <f t="shared" si="31"/>
        <v>137643.89</v>
      </c>
      <c r="E274" s="98">
        <f t="shared" si="31"/>
        <v>189717.52</v>
      </c>
      <c r="F274" s="104">
        <f t="shared" si="33"/>
        <v>775130.0599999999</v>
      </c>
      <c r="G274" s="98">
        <f t="shared" si="32"/>
        <v>10000</v>
      </c>
      <c r="H274" s="98">
        <f t="shared" si="32"/>
        <v>-21857</v>
      </c>
      <c r="I274" s="105">
        <f t="shared" si="34"/>
        <v>763273.0599999999</v>
      </c>
    </row>
    <row r="275" spans="1:9" ht="13.5">
      <c r="A275" s="18" t="s">
        <v>15</v>
      </c>
      <c r="B275" s="19"/>
      <c r="C275" s="98">
        <f t="shared" si="31"/>
        <v>-989257.4499999993</v>
      </c>
      <c r="D275" s="98">
        <f t="shared" si="31"/>
        <v>510504.30000000005</v>
      </c>
      <c r="E275" s="98">
        <f t="shared" si="31"/>
        <v>652486.28</v>
      </c>
      <c r="F275" s="104">
        <f t="shared" si="33"/>
        <v>173733.13000000082</v>
      </c>
      <c r="G275" s="98">
        <f t="shared" si="32"/>
        <v>164701.1</v>
      </c>
      <c r="H275" s="98">
        <f t="shared" si="32"/>
        <v>229299</v>
      </c>
      <c r="I275" s="105">
        <f t="shared" si="34"/>
        <v>567733.2300000008</v>
      </c>
    </row>
    <row r="276" spans="1:9" ht="13.5">
      <c r="A276" s="18" t="s">
        <v>16</v>
      </c>
      <c r="B276" s="19"/>
      <c r="C276" s="98">
        <f t="shared" si="31"/>
        <v>587733.81</v>
      </c>
      <c r="D276" s="98">
        <f t="shared" si="31"/>
        <v>241163.92999999993</v>
      </c>
      <c r="E276" s="98">
        <f t="shared" si="31"/>
        <v>57398</v>
      </c>
      <c r="F276" s="104">
        <f t="shared" si="33"/>
        <v>886295.74</v>
      </c>
      <c r="G276" s="98">
        <f t="shared" si="32"/>
        <v>295730</v>
      </c>
      <c r="H276" s="98">
        <f t="shared" si="32"/>
        <v>272858</v>
      </c>
      <c r="I276" s="105">
        <f t="shared" si="34"/>
        <v>1454883.74</v>
      </c>
    </row>
    <row r="277" spans="1:9" ht="13.5">
      <c r="A277" s="18" t="s">
        <v>17</v>
      </c>
      <c r="B277" s="19"/>
      <c r="C277" s="98">
        <f t="shared" si="31"/>
        <v>164339.25</v>
      </c>
      <c r="D277" s="98">
        <f t="shared" si="31"/>
        <v>0</v>
      </c>
      <c r="E277" s="98">
        <f t="shared" si="31"/>
        <v>0</v>
      </c>
      <c r="F277" s="104">
        <f t="shared" si="33"/>
        <v>164339.25</v>
      </c>
      <c r="G277" s="98">
        <f t="shared" si="32"/>
        <v>57409.119999999995</v>
      </c>
      <c r="H277" s="98">
        <f t="shared" si="32"/>
        <v>76207</v>
      </c>
      <c r="I277" s="105">
        <f t="shared" si="34"/>
        <v>297955.37</v>
      </c>
    </row>
    <row r="278" spans="1:9" ht="13.5">
      <c r="A278" s="18" t="s">
        <v>53</v>
      </c>
      <c r="B278" s="19"/>
      <c r="C278" s="98">
        <f t="shared" si="31"/>
        <v>-823847</v>
      </c>
      <c r="D278" s="98">
        <f t="shared" si="31"/>
        <v>-763325.9100000001</v>
      </c>
      <c r="E278" s="98">
        <f t="shared" si="31"/>
        <v>-114587.22999999998</v>
      </c>
      <c r="F278" s="104">
        <f t="shared" si="33"/>
        <v>-1701760.1400000001</v>
      </c>
      <c r="G278" s="98">
        <f t="shared" si="32"/>
        <v>-247801.99</v>
      </c>
      <c r="H278" s="98">
        <f t="shared" si="32"/>
        <v>-508304</v>
      </c>
      <c r="I278" s="105">
        <f t="shared" si="34"/>
        <v>-2457866.13</v>
      </c>
    </row>
    <row r="279" spans="1:9" ht="13.5">
      <c r="A279" s="18" t="s">
        <v>18</v>
      </c>
      <c r="B279" s="19"/>
      <c r="C279" s="98">
        <f t="shared" si="31"/>
        <v>-203809.05</v>
      </c>
      <c r="D279" s="98">
        <f t="shared" si="31"/>
        <v>-160925.43</v>
      </c>
      <c r="E279" s="98">
        <f t="shared" si="31"/>
        <v>-13987.550000000017</v>
      </c>
      <c r="F279" s="104">
        <f t="shared" si="33"/>
        <v>-378722.03</v>
      </c>
      <c r="G279" s="98">
        <f t="shared" si="32"/>
        <v>35927.5</v>
      </c>
      <c r="H279" s="98">
        <f t="shared" si="32"/>
        <v>-47641</v>
      </c>
      <c r="I279" s="105">
        <f t="shared" si="34"/>
        <v>-390435.53</v>
      </c>
    </row>
    <row r="280" spans="1:9" ht="13.5">
      <c r="A280" s="18" t="s">
        <v>19</v>
      </c>
      <c r="B280" s="19"/>
      <c r="C280" s="98">
        <f t="shared" si="31"/>
        <v>-10860.809999999998</v>
      </c>
      <c r="D280" s="98">
        <f t="shared" si="31"/>
        <v>519870.94999999995</v>
      </c>
      <c r="E280" s="98">
        <f t="shared" si="31"/>
        <v>0</v>
      </c>
      <c r="F280" s="104">
        <f t="shared" si="33"/>
        <v>509010.13999999996</v>
      </c>
      <c r="G280" s="98">
        <f t="shared" si="32"/>
        <v>0</v>
      </c>
      <c r="H280" s="98">
        <f t="shared" si="32"/>
        <v>-26521</v>
      </c>
      <c r="I280" s="105">
        <f t="shared" si="34"/>
        <v>482489.13999999996</v>
      </c>
    </row>
    <row r="281" spans="1:9" ht="13.5">
      <c r="A281" s="18" t="s">
        <v>20</v>
      </c>
      <c r="B281" s="19"/>
      <c r="C281" s="98">
        <f t="shared" si="31"/>
        <v>1000</v>
      </c>
      <c r="D281" s="98">
        <f t="shared" si="31"/>
        <v>186000</v>
      </c>
      <c r="E281" s="98">
        <f t="shared" si="31"/>
        <v>0</v>
      </c>
      <c r="F281" s="104">
        <f t="shared" si="33"/>
        <v>187000</v>
      </c>
      <c r="G281" s="98">
        <f t="shared" si="32"/>
        <v>0</v>
      </c>
      <c r="H281" s="98">
        <f t="shared" si="32"/>
        <v>-19000</v>
      </c>
      <c r="I281" s="105">
        <f t="shared" si="34"/>
        <v>168000</v>
      </c>
    </row>
    <row r="282" spans="1:9" ht="13.5">
      <c r="A282" s="18" t="s">
        <v>21</v>
      </c>
      <c r="B282" s="19"/>
      <c r="C282" s="98">
        <f t="shared" si="31"/>
        <v>212854.3</v>
      </c>
      <c r="D282" s="98">
        <f t="shared" si="31"/>
        <v>0</v>
      </c>
      <c r="E282" s="98">
        <f t="shared" si="31"/>
        <v>0</v>
      </c>
      <c r="F282" s="104">
        <f t="shared" si="33"/>
        <v>212854.3</v>
      </c>
      <c r="G282" s="98">
        <f t="shared" si="32"/>
        <v>0</v>
      </c>
      <c r="H282" s="98">
        <f t="shared" si="32"/>
        <v>0</v>
      </c>
      <c r="I282" s="105">
        <f t="shared" si="34"/>
        <v>212854.3</v>
      </c>
    </row>
    <row r="283" spans="1:9" ht="13.5">
      <c r="A283" s="18" t="s">
        <v>76</v>
      </c>
      <c r="B283" s="19"/>
      <c r="C283" s="98">
        <f t="shared" si="31"/>
        <v>-5.820766091346741E-11</v>
      </c>
      <c r="D283" s="98">
        <f t="shared" si="31"/>
        <v>18858.330000000016</v>
      </c>
      <c r="E283" s="98">
        <f t="shared" si="31"/>
        <v>64000</v>
      </c>
      <c r="F283" s="104">
        <f t="shared" si="33"/>
        <v>82858.32999999996</v>
      </c>
      <c r="G283" s="98">
        <f t="shared" si="32"/>
        <v>0</v>
      </c>
      <c r="H283" s="98">
        <f t="shared" si="32"/>
        <v>0</v>
      </c>
      <c r="I283" s="105">
        <f t="shared" si="34"/>
        <v>82858.32999999996</v>
      </c>
    </row>
    <row r="284" spans="1:9" ht="13.5">
      <c r="A284" s="18" t="s">
        <v>22</v>
      </c>
      <c r="B284" s="19"/>
      <c r="C284" s="98">
        <f t="shared" si="31"/>
        <v>405508</v>
      </c>
      <c r="D284" s="98">
        <f t="shared" si="31"/>
        <v>204307.36</v>
      </c>
      <c r="E284" s="98">
        <f t="shared" si="31"/>
        <v>0</v>
      </c>
      <c r="F284" s="104">
        <f t="shared" si="33"/>
        <v>609815.36</v>
      </c>
      <c r="G284" s="98">
        <f t="shared" si="32"/>
        <v>0</v>
      </c>
      <c r="H284" s="98">
        <f t="shared" si="32"/>
        <v>10000</v>
      </c>
      <c r="I284" s="105">
        <f t="shared" si="34"/>
        <v>619815.36</v>
      </c>
    </row>
    <row r="285" spans="1:9" ht="13.5">
      <c r="A285" s="18" t="s">
        <v>23</v>
      </c>
      <c r="B285" s="19"/>
      <c r="C285" s="98">
        <f t="shared" si="31"/>
        <v>391625</v>
      </c>
      <c r="D285" s="98">
        <f t="shared" si="31"/>
        <v>0</v>
      </c>
      <c r="E285" s="98">
        <f t="shared" si="31"/>
        <v>0</v>
      </c>
      <c r="F285" s="104">
        <f t="shared" si="33"/>
        <v>391625</v>
      </c>
      <c r="G285" s="98">
        <f t="shared" si="32"/>
        <v>0</v>
      </c>
      <c r="H285" s="98">
        <f t="shared" si="32"/>
        <v>-16185</v>
      </c>
      <c r="I285" s="105">
        <f t="shared" si="34"/>
        <v>375440</v>
      </c>
    </row>
    <row r="286" spans="1:9" ht="13.5">
      <c r="A286" s="18" t="s">
        <v>24</v>
      </c>
      <c r="B286" s="19"/>
      <c r="C286" s="98">
        <f t="shared" si="31"/>
        <v>2.3283064365386963E-10</v>
      </c>
      <c r="D286" s="98">
        <f t="shared" si="31"/>
        <v>791285.9700000002</v>
      </c>
      <c r="E286" s="98">
        <f t="shared" si="31"/>
        <v>609927.4</v>
      </c>
      <c r="F286" s="104">
        <f t="shared" si="33"/>
        <v>1401213.3700000006</v>
      </c>
      <c r="G286" s="98">
        <f t="shared" si="32"/>
        <v>0</v>
      </c>
      <c r="H286" s="98">
        <f t="shared" si="32"/>
        <v>0</v>
      </c>
      <c r="I286" s="105">
        <f t="shared" si="34"/>
        <v>1401213.3700000006</v>
      </c>
    </row>
    <row r="287" spans="1:9" ht="13.5">
      <c r="A287" s="18" t="s">
        <v>25</v>
      </c>
      <c r="B287" s="19"/>
      <c r="C287" s="98">
        <f t="shared" si="31"/>
        <v>450000</v>
      </c>
      <c r="D287" s="98">
        <f t="shared" si="31"/>
        <v>150000</v>
      </c>
      <c r="E287" s="98">
        <f t="shared" si="31"/>
        <v>100000</v>
      </c>
      <c r="F287" s="104">
        <f t="shared" si="33"/>
        <v>700000</v>
      </c>
      <c r="G287" s="98">
        <f t="shared" si="32"/>
        <v>0</v>
      </c>
      <c r="H287" s="98">
        <f t="shared" si="32"/>
        <v>0</v>
      </c>
      <c r="I287" s="105">
        <f t="shared" si="34"/>
        <v>700000</v>
      </c>
    </row>
    <row r="288" spans="1:9" ht="13.5">
      <c r="A288" s="18" t="s">
        <v>66</v>
      </c>
      <c r="B288" s="19"/>
      <c r="C288" s="98">
        <f t="shared" si="31"/>
        <v>607182.4099999997</v>
      </c>
      <c r="D288" s="98">
        <f t="shared" si="31"/>
        <v>-150056.38000000035</v>
      </c>
      <c r="E288" s="98">
        <f t="shared" si="31"/>
        <v>-334730.5</v>
      </c>
      <c r="F288" s="104">
        <f t="shared" si="33"/>
        <v>122395.52999999933</v>
      </c>
      <c r="G288" s="98">
        <f t="shared" si="32"/>
        <v>0</v>
      </c>
      <c r="H288" s="98">
        <f t="shared" si="32"/>
        <v>0</v>
      </c>
      <c r="I288" s="105">
        <f t="shared" si="34"/>
        <v>122395.52999999933</v>
      </c>
    </row>
    <row r="289" spans="1:9" ht="13.5">
      <c r="A289" s="18" t="s">
        <v>26</v>
      </c>
      <c r="B289" s="19"/>
      <c r="C289" s="98">
        <f t="shared" si="31"/>
        <v>-714439.5</v>
      </c>
      <c r="D289" s="98">
        <f t="shared" si="31"/>
        <v>-16500</v>
      </c>
      <c r="E289" s="98">
        <f t="shared" si="31"/>
        <v>-46757</v>
      </c>
      <c r="F289" s="104">
        <f t="shared" si="33"/>
        <v>-777696.5</v>
      </c>
      <c r="G289" s="98">
        <f t="shared" si="32"/>
        <v>-5700</v>
      </c>
      <c r="H289" s="98">
        <f t="shared" si="32"/>
        <v>-40700</v>
      </c>
      <c r="I289" s="105">
        <f t="shared" si="34"/>
        <v>-824096.5</v>
      </c>
    </row>
    <row r="290" spans="1:9" ht="13.5">
      <c r="A290" s="18" t="s">
        <v>27</v>
      </c>
      <c r="B290" s="19"/>
      <c r="C290" s="98">
        <f t="shared" si="31"/>
        <v>-59862.5</v>
      </c>
      <c r="D290" s="98">
        <f t="shared" si="31"/>
        <v>0</v>
      </c>
      <c r="E290" s="98">
        <f t="shared" si="31"/>
        <v>0</v>
      </c>
      <c r="F290" s="104">
        <f t="shared" si="33"/>
        <v>-59862.5</v>
      </c>
      <c r="G290" s="98">
        <f t="shared" si="32"/>
        <v>0</v>
      </c>
      <c r="H290" s="98">
        <f t="shared" si="32"/>
        <v>9000</v>
      </c>
      <c r="I290" s="105">
        <f t="shared" si="34"/>
        <v>-50862.5</v>
      </c>
    </row>
    <row r="291" spans="1:9" ht="13.5">
      <c r="A291" s="18" t="s">
        <v>57</v>
      </c>
      <c r="B291" s="19"/>
      <c r="C291" s="98">
        <f t="shared" si="31"/>
        <v>0</v>
      </c>
      <c r="D291" s="98">
        <f t="shared" si="31"/>
        <v>0</v>
      </c>
      <c r="E291" s="98">
        <f t="shared" si="31"/>
        <v>69734</v>
      </c>
      <c r="F291" s="104">
        <f t="shared" si="33"/>
        <v>69734</v>
      </c>
      <c r="G291" s="98">
        <f t="shared" si="32"/>
        <v>0</v>
      </c>
      <c r="H291" s="98">
        <f t="shared" si="32"/>
        <v>0</v>
      </c>
      <c r="I291" s="105">
        <f t="shared" si="34"/>
        <v>69734</v>
      </c>
    </row>
    <row r="292" spans="1:9" ht="13.5">
      <c r="A292" s="18" t="s">
        <v>68</v>
      </c>
      <c r="B292" s="19"/>
      <c r="C292" s="98">
        <f t="shared" si="31"/>
        <v>1000000</v>
      </c>
      <c r="D292" s="98">
        <f t="shared" si="31"/>
        <v>0</v>
      </c>
      <c r="E292" s="98">
        <f t="shared" si="31"/>
        <v>0</v>
      </c>
      <c r="F292" s="104">
        <f t="shared" si="33"/>
        <v>1000000</v>
      </c>
      <c r="G292" s="98">
        <f t="shared" si="32"/>
        <v>0</v>
      </c>
      <c r="H292" s="98">
        <f t="shared" si="32"/>
        <v>0</v>
      </c>
      <c r="I292" s="105">
        <f t="shared" si="34"/>
        <v>1000000</v>
      </c>
    </row>
    <row r="293" spans="1:9" ht="14.25" thickBot="1">
      <c r="A293" s="18" t="s">
        <v>28</v>
      </c>
      <c r="B293" s="19"/>
      <c r="C293" s="98">
        <f t="shared" si="31"/>
        <v>-958773.1800000016</v>
      </c>
      <c r="D293" s="98">
        <f t="shared" si="31"/>
        <v>-1000152.4999999995</v>
      </c>
      <c r="E293" s="98">
        <f t="shared" si="31"/>
        <v>7048.600000000093</v>
      </c>
      <c r="F293" s="104">
        <f t="shared" si="33"/>
        <v>-1951877.080000001</v>
      </c>
      <c r="G293" s="98">
        <f t="shared" si="32"/>
        <v>68103.37</v>
      </c>
      <c r="H293" s="98">
        <f t="shared" si="32"/>
        <v>31965</v>
      </c>
      <c r="I293" s="105">
        <f t="shared" si="34"/>
        <v>-1851808.710000001</v>
      </c>
    </row>
    <row r="294" spans="1:9" ht="14.25" thickBot="1">
      <c r="A294" s="20" t="s">
        <v>7</v>
      </c>
      <c r="B294" s="19"/>
      <c r="C294" s="101">
        <f>SUM(C270:C293)</f>
        <v>1280331.339999999</v>
      </c>
      <c r="D294" s="101">
        <f>SUM(D270:D293)</f>
        <v>1229113.2200000002</v>
      </c>
      <c r="E294" s="101">
        <f>SUM(E270:E293)</f>
        <v>1089421.9900000002</v>
      </c>
      <c r="F294" s="110">
        <f aca="true" t="shared" si="35" ref="F294:F352">SUM(C294:E294)</f>
        <v>3598866.5499999993</v>
      </c>
      <c r="G294" s="111">
        <f>SUM(G270:G293)</f>
        <v>457603.1</v>
      </c>
      <c r="H294" s="111">
        <f>SUM(H270:H293)</f>
        <v>-264320</v>
      </c>
      <c r="I294" s="111">
        <f>SUM(F294:H294)</f>
        <v>3792149.6499999994</v>
      </c>
    </row>
    <row r="295" spans="1:9" ht="15">
      <c r="A295" s="21" t="s">
        <v>29</v>
      </c>
      <c r="B295" s="19"/>
      <c r="C295" s="100"/>
      <c r="D295" s="100"/>
      <c r="E295" s="100"/>
      <c r="F295" s="112">
        <f t="shared" si="35"/>
        <v>0</v>
      </c>
      <c r="G295" s="105"/>
      <c r="H295" s="105"/>
      <c r="I295" s="113">
        <f>SUM(F295:H295)</f>
        <v>0</v>
      </c>
    </row>
    <row r="296" spans="1:9" ht="13.5">
      <c r="A296" s="18" t="s">
        <v>30</v>
      </c>
      <c r="B296" s="19"/>
      <c r="C296" s="98"/>
      <c r="D296" s="98">
        <f aca="true" t="shared" si="36" ref="D296:D327">SUM(D38-D166)</f>
        <v>179938.45</v>
      </c>
      <c r="E296" s="98"/>
      <c r="F296" s="104">
        <f t="shared" si="35"/>
        <v>179938.45</v>
      </c>
      <c r="G296" s="98">
        <f aca="true" t="shared" si="37" ref="G296:H310">SUM(G38-G166)</f>
        <v>68250</v>
      </c>
      <c r="H296" s="98">
        <f t="shared" si="37"/>
        <v>18750</v>
      </c>
      <c r="I296" s="105">
        <f>SUM(F296:H296)</f>
        <v>266938.45</v>
      </c>
    </row>
    <row r="297" spans="1:9" ht="13.5">
      <c r="A297" s="18" t="s">
        <v>49</v>
      </c>
      <c r="B297" s="19"/>
      <c r="C297" s="98"/>
      <c r="D297" s="98">
        <f t="shared" si="36"/>
        <v>948439.65</v>
      </c>
      <c r="E297" s="98"/>
      <c r="F297" s="104">
        <f t="shared" si="35"/>
        <v>948439.65</v>
      </c>
      <c r="G297" s="98">
        <f t="shared" si="37"/>
        <v>11669.560000000001</v>
      </c>
      <c r="H297" s="98">
        <f t="shared" si="37"/>
        <v>71143</v>
      </c>
      <c r="I297" s="105">
        <f>SUM(F297:H297)</f>
        <v>1031252.2100000001</v>
      </c>
    </row>
    <row r="298" spans="1:9" ht="13.5">
      <c r="A298" s="18" t="s">
        <v>50</v>
      </c>
      <c r="B298" s="19"/>
      <c r="C298" s="98"/>
      <c r="D298" s="98">
        <f t="shared" si="36"/>
        <v>2587845.85</v>
      </c>
      <c r="E298" s="98"/>
      <c r="F298" s="104">
        <f t="shared" si="35"/>
        <v>2587845.85</v>
      </c>
      <c r="G298" s="98">
        <f t="shared" si="37"/>
        <v>-146788.77000000002</v>
      </c>
      <c r="H298" s="98">
        <f t="shared" si="37"/>
        <v>431048</v>
      </c>
      <c r="I298" s="105">
        <f>SUM(F298:H298)</f>
        <v>2872105.08</v>
      </c>
    </row>
    <row r="299" spans="1:9" ht="13.5">
      <c r="A299" s="18" t="s">
        <v>31</v>
      </c>
      <c r="B299" s="19"/>
      <c r="C299" s="98"/>
      <c r="D299" s="98">
        <f t="shared" si="36"/>
        <v>49898.48999999999</v>
      </c>
      <c r="E299" s="98"/>
      <c r="F299" s="104">
        <f t="shared" si="35"/>
        <v>49898.48999999999</v>
      </c>
      <c r="G299" s="98">
        <f t="shared" si="37"/>
        <v>70960</v>
      </c>
      <c r="H299" s="98">
        <f t="shared" si="37"/>
        <v>10000</v>
      </c>
      <c r="I299" s="105">
        <f>SUM(F299:H299)</f>
        <v>130858.48999999999</v>
      </c>
    </row>
    <row r="300" spans="1:9" ht="13.5">
      <c r="A300" s="18" t="s">
        <v>32</v>
      </c>
      <c r="B300" s="19"/>
      <c r="C300" s="98"/>
      <c r="D300" s="98">
        <f t="shared" si="36"/>
        <v>4600</v>
      </c>
      <c r="E300" s="98"/>
      <c r="F300" s="104">
        <f t="shared" si="35"/>
        <v>4600</v>
      </c>
      <c r="G300" s="98">
        <f t="shared" si="37"/>
        <v>56500</v>
      </c>
      <c r="H300" s="98">
        <f t="shared" si="37"/>
        <v>35000</v>
      </c>
      <c r="I300" s="105">
        <f aca="true" t="shared" si="38" ref="I300:I352">SUM(F300:H300)</f>
        <v>96100</v>
      </c>
    </row>
    <row r="301" spans="1:9" ht="13.5">
      <c r="A301" s="18" t="s">
        <v>33</v>
      </c>
      <c r="B301" s="19"/>
      <c r="C301" s="98"/>
      <c r="D301" s="98">
        <f t="shared" si="36"/>
        <v>514683.52</v>
      </c>
      <c r="E301" s="98"/>
      <c r="F301" s="104">
        <f t="shared" si="35"/>
        <v>514683.52</v>
      </c>
      <c r="G301" s="98">
        <f t="shared" si="37"/>
        <v>100000</v>
      </c>
      <c r="H301" s="98">
        <f t="shared" si="37"/>
        <v>167681</v>
      </c>
      <c r="I301" s="105">
        <f t="shared" si="38"/>
        <v>782364.52</v>
      </c>
    </row>
    <row r="302" spans="1:9" ht="13.5">
      <c r="A302" s="18" t="s">
        <v>34</v>
      </c>
      <c r="B302" s="19"/>
      <c r="C302" s="98"/>
      <c r="D302" s="98">
        <f t="shared" si="36"/>
        <v>493000.01</v>
      </c>
      <c r="E302" s="98"/>
      <c r="F302" s="104">
        <f t="shared" si="35"/>
        <v>493000.01</v>
      </c>
      <c r="G302" s="98">
        <f t="shared" si="37"/>
        <v>126564</v>
      </c>
      <c r="H302" s="98">
        <f t="shared" si="37"/>
        <v>28629</v>
      </c>
      <c r="I302" s="105">
        <f t="shared" si="38"/>
        <v>648193.01</v>
      </c>
    </row>
    <row r="303" spans="1:9" ht="13.5">
      <c r="A303" s="18" t="s">
        <v>52</v>
      </c>
      <c r="B303" s="19"/>
      <c r="C303" s="98"/>
      <c r="D303" s="98">
        <f t="shared" si="36"/>
        <v>1624</v>
      </c>
      <c r="E303" s="98"/>
      <c r="F303" s="104">
        <f t="shared" si="35"/>
        <v>1624</v>
      </c>
      <c r="G303" s="98">
        <f t="shared" si="37"/>
        <v>40000</v>
      </c>
      <c r="H303" s="98">
        <f t="shared" si="37"/>
        <v>346500</v>
      </c>
      <c r="I303" s="105">
        <f t="shared" si="38"/>
        <v>388124</v>
      </c>
    </row>
    <row r="304" spans="1:9" ht="13.5">
      <c r="A304" s="18" t="s">
        <v>35</v>
      </c>
      <c r="B304" s="19"/>
      <c r="C304" s="98"/>
      <c r="D304" s="98">
        <f t="shared" si="36"/>
        <v>34163</v>
      </c>
      <c r="E304" s="98"/>
      <c r="F304" s="104">
        <f t="shared" si="35"/>
        <v>34163</v>
      </c>
      <c r="G304" s="98">
        <f t="shared" si="37"/>
        <v>-8700</v>
      </c>
      <c r="H304" s="98">
        <f t="shared" si="37"/>
        <v>27000</v>
      </c>
      <c r="I304" s="105">
        <f t="shared" si="38"/>
        <v>52463</v>
      </c>
    </row>
    <row r="305" spans="1:9" ht="13.5">
      <c r="A305" s="18" t="s">
        <v>36</v>
      </c>
      <c r="B305" s="19"/>
      <c r="C305" s="98"/>
      <c r="D305" s="98">
        <f t="shared" si="36"/>
        <v>738794.46</v>
      </c>
      <c r="E305" s="98"/>
      <c r="F305" s="104">
        <f t="shared" si="35"/>
        <v>738794.46</v>
      </c>
      <c r="G305" s="98">
        <f t="shared" si="37"/>
        <v>0</v>
      </c>
      <c r="H305" s="98">
        <f t="shared" si="37"/>
        <v>0</v>
      </c>
      <c r="I305" s="105">
        <f t="shared" si="38"/>
        <v>738794.46</v>
      </c>
    </row>
    <row r="306" spans="1:9" ht="13.5">
      <c r="A306" s="18" t="s">
        <v>37</v>
      </c>
      <c r="B306" s="19"/>
      <c r="C306" s="98"/>
      <c r="D306" s="98">
        <f t="shared" si="36"/>
        <v>21869.5</v>
      </c>
      <c r="E306" s="98"/>
      <c r="F306" s="104">
        <f t="shared" si="35"/>
        <v>21869.5</v>
      </c>
      <c r="G306" s="98">
        <f t="shared" si="37"/>
        <v>0</v>
      </c>
      <c r="H306" s="98">
        <f t="shared" si="37"/>
        <v>0</v>
      </c>
      <c r="I306" s="105">
        <f t="shared" si="38"/>
        <v>21869.5</v>
      </c>
    </row>
    <row r="307" spans="1:9" ht="13.5">
      <c r="A307" s="18" t="s">
        <v>73</v>
      </c>
      <c r="B307" s="19"/>
      <c r="C307" s="98"/>
      <c r="D307" s="98">
        <f t="shared" si="36"/>
        <v>403662.4099999999</v>
      </c>
      <c r="E307" s="98"/>
      <c r="F307" s="104">
        <f t="shared" si="35"/>
        <v>403662.4099999999</v>
      </c>
      <c r="G307" s="98">
        <f t="shared" si="37"/>
        <v>0</v>
      </c>
      <c r="H307" s="98">
        <f t="shared" si="37"/>
        <v>12000</v>
      </c>
      <c r="I307" s="105">
        <f t="shared" si="38"/>
        <v>415662.4099999999</v>
      </c>
    </row>
    <row r="308" spans="1:9" ht="13.5">
      <c r="A308" s="18" t="s">
        <v>58</v>
      </c>
      <c r="B308" s="19"/>
      <c r="C308" s="107"/>
      <c r="D308" s="98">
        <f t="shared" si="36"/>
        <v>120846</v>
      </c>
      <c r="E308" s="107"/>
      <c r="F308" s="115">
        <f t="shared" si="35"/>
        <v>120846</v>
      </c>
      <c r="G308" s="98">
        <f t="shared" si="37"/>
        <v>0</v>
      </c>
      <c r="H308" s="98">
        <f t="shared" si="37"/>
        <v>0</v>
      </c>
      <c r="I308" s="105">
        <f t="shared" si="38"/>
        <v>120846</v>
      </c>
    </row>
    <row r="309" spans="1:9" ht="13.5">
      <c r="A309" s="18" t="s">
        <v>59</v>
      </c>
      <c r="B309" s="19"/>
      <c r="C309" s="107"/>
      <c r="D309" s="98">
        <f t="shared" si="36"/>
        <v>142775</v>
      </c>
      <c r="E309" s="107"/>
      <c r="F309" s="115">
        <f t="shared" si="35"/>
        <v>142775</v>
      </c>
      <c r="G309" s="98">
        <f t="shared" si="37"/>
        <v>0</v>
      </c>
      <c r="H309" s="98">
        <f t="shared" si="37"/>
        <v>0</v>
      </c>
      <c r="I309" s="105">
        <f t="shared" si="38"/>
        <v>142775</v>
      </c>
    </row>
    <row r="310" spans="1:9" ht="13.5">
      <c r="A310" s="18" t="s">
        <v>165</v>
      </c>
      <c r="B310" s="19"/>
      <c r="C310" s="107"/>
      <c r="D310" s="98">
        <f t="shared" si="36"/>
        <v>209272.89999999997</v>
      </c>
      <c r="E310" s="107"/>
      <c r="F310" s="115">
        <f t="shared" si="35"/>
        <v>209272.89999999997</v>
      </c>
      <c r="G310" s="98">
        <f t="shared" si="37"/>
        <v>83000</v>
      </c>
      <c r="H310" s="98">
        <f t="shared" si="37"/>
        <v>345885</v>
      </c>
      <c r="I310" s="105">
        <f t="shared" si="38"/>
        <v>638157.8999999999</v>
      </c>
    </row>
    <row r="311" spans="1:9" ht="13.5">
      <c r="A311" s="18" t="s">
        <v>167</v>
      </c>
      <c r="B311" s="19"/>
      <c r="C311" s="107"/>
      <c r="D311" s="98">
        <f t="shared" si="36"/>
        <v>0</v>
      </c>
      <c r="E311" s="107"/>
      <c r="F311" s="115">
        <f t="shared" si="35"/>
        <v>0</v>
      </c>
      <c r="G311" s="98"/>
      <c r="H311" s="98"/>
      <c r="I311" s="105">
        <f t="shared" si="38"/>
        <v>0</v>
      </c>
    </row>
    <row r="312" spans="1:9" ht="13.5">
      <c r="A312" s="18" t="s">
        <v>61</v>
      </c>
      <c r="B312" s="19"/>
      <c r="C312" s="107"/>
      <c r="D312" s="98">
        <f t="shared" si="36"/>
        <v>69380.18999999971</v>
      </c>
      <c r="E312" s="107"/>
      <c r="F312" s="115">
        <f t="shared" si="35"/>
        <v>69380.18999999971</v>
      </c>
      <c r="G312" s="98">
        <f aca="true" t="shared" si="39" ref="G312:H315">SUM(G54-G182)</f>
        <v>0</v>
      </c>
      <c r="H312" s="98">
        <f t="shared" si="39"/>
        <v>0</v>
      </c>
      <c r="I312" s="105">
        <f t="shared" si="38"/>
        <v>69380.18999999971</v>
      </c>
    </row>
    <row r="313" spans="1:9" ht="13.5">
      <c r="A313" s="18" t="s">
        <v>74</v>
      </c>
      <c r="B313" s="19"/>
      <c r="C313" s="107"/>
      <c r="D313" s="98">
        <f t="shared" si="36"/>
        <v>153663.42000000004</v>
      </c>
      <c r="E313" s="107"/>
      <c r="F313" s="115">
        <f t="shared" si="35"/>
        <v>153663.42000000004</v>
      </c>
      <c r="G313" s="98">
        <f t="shared" si="39"/>
        <v>0</v>
      </c>
      <c r="H313" s="98">
        <f t="shared" si="39"/>
        <v>0</v>
      </c>
      <c r="I313" s="105">
        <f t="shared" si="38"/>
        <v>153663.42000000004</v>
      </c>
    </row>
    <row r="314" spans="1:9" ht="13.5">
      <c r="A314" s="18" t="s">
        <v>173</v>
      </c>
      <c r="B314" s="19"/>
      <c r="C314" s="107"/>
      <c r="D314" s="98">
        <f t="shared" si="36"/>
        <v>6070.679999999993</v>
      </c>
      <c r="E314" s="107"/>
      <c r="F314" s="115">
        <f t="shared" si="35"/>
        <v>6070.679999999993</v>
      </c>
      <c r="G314" s="98">
        <f t="shared" si="39"/>
        <v>0</v>
      </c>
      <c r="H314" s="98">
        <f t="shared" si="39"/>
        <v>0</v>
      </c>
      <c r="I314" s="105">
        <f t="shared" si="38"/>
        <v>6070.679999999993</v>
      </c>
    </row>
    <row r="315" spans="1:9" ht="13.5">
      <c r="A315" s="18" t="s">
        <v>115</v>
      </c>
      <c r="B315" s="19"/>
      <c r="C315" s="107"/>
      <c r="D315" s="98">
        <f t="shared" si="36"/>
        <v>449058.02</v>
      </c>
      <c r="E315" s="107"/>
      <c r="F315" s="115">
        <f t="shared" si="35"/>
        <v>449058.02</v>
      </c>
      <c r="G315" s="98">
        <f t="shared" si="39"/>
        <v>0</v>
      </c>
      <c r="H315" s="98">
        <f t="shared" si="39"/>
        <v>0</v>
      </c>
      <c r="I315" s="105">
        <f t="shared" si="38"/>
        <v>449058.02</v>
      </c>
    </row>
    <row r="316" spans="1:9" ht="13.5">
      <c r="A316" s="18" t="s">
        <v>229</v>
      </c>
      <c r="B316" s="19"/>
      <c r="C316" s="107"/>
      <c r="D316" s="98">
        <f t="shared" si="36"/>
        <v>5200</v>
      </c>
      <c r="E316" s="107"/>
      <c r="F316" s="115">
        <f t="shared" si="35"/>
        <v>5200</v>
      </c>
      <c r="G316" s="98"/>
      <c r="H316" s="98"/>
      <c r="I316" s="105">
        <f t="shared" si="38"/>
        <v>5200</v>
      </c>
    </row>
    <row r="317" spans="1:9" ht="13.5">
      <c r="A317" s="18" t="s">
        <v>75</v>
      </c>
      <c r="B317" s="19"/>
      <c r="C317" s="107"/>
      <c r="D317" s="98">
        <f t="shared" si="36"/>
        <v>16731.920000000013</v>
      </c>
      <c r="E317" s="107"/>
      <c r="F317" s="115">
        <f t="shared" si="35"/>
        <v>16731.920000000013</v>
      </c>
      <c r="G317" s="98">
        <f aca="true" t="shared" si="40" ref="G317:H323">SUM(G59-G187)</f>
        <v>0</v>
      </c>
      <c r="H317" s="98">
        <f t="shared" si="40"/>
        <v>0</v>
      </c>
      <c r="I317" s="105">
        <f t="shared" si="38"/>
        <v>16731.920000000013</v>
      </c>
    </row>
    <row r="318" spans="1:9" ht="13.5">
      <c r="A318" s="18" t="s">
        <v>64</v>
      </c>
      <c r="B318" s="19"/>
      <c r="C318" s="107"/>
      <c r="D318" s="98">
        <f t="shared" si="36"/>
        <v>28624.56999999995</v>
      </c>
      <c r="E318" s="107"/>
      <c r="F318" s="115">
        <f t="shared" si="35"/>
        <v>28624.56999999995</v>
      </c>
      <c r="G318" s="98">
        <f t="shared" si="40"/>
        <v>0</v>
      </c>
      <c r="H318" s="98">
        <f t="shared" si="40"/>
        <v>0</v>
      </c>
      <c r="I318" s="105">
        <f t="shared" si="38"/>
        <v>28624.56999999995</v>
      </c>
    </row>
    <row r="319" spans="1:9" ht="13.5">
      <c r="A319" s="18" t="s">
        <v>77</v>
      </c>
      <c r="B319" s="19"/>
      <c r="C319" s="107"/>
      <c r="D319" s="98">
        <f t="shared" si="36"/>
        <v>845196.53</v>
      </c>
      <c r="E319" s="107"/>
      <c r="F319" s="115">
        <f t="shared" si="35"/>
        <v>845196.53</v>
      </c>
      <c r="G319" s="98">
        <f t="shared" si="40"/>
        <v>0</v>
      </c>
      <c r="H319" s="98">
        <f t="shared" si="40"/>
        <v>0</v>
      </c>
      <c r="I319" s="105">
        <f t="shared" si="38"/>
        <v>845196.53</v>
      </c>
    </row>
    <row r="320" spans="1:9" ht="13.5">
      <c r="A320" s="18" t="s">
        <v>78</v>
      </c>
      <c r="B320" s="19"/>
      <c r="C320" s="107"/>
      <c r="D320" s="98">
        <f t="shared" si="36"/>
        <v>644766.5100000002</v>
      </c>
      <c r="E320" s="107"/>
      <c r="F320" s="115">
        <f t="shared" si="35"/>
        <v>644766.5100000002</v>
      </c>
      <c r="G320" s="98">
        <f t="shared" si="40"/>
        <v>0</v>
      </c>
      <c r="H320" s="98">
        <f t="shared" si="40"/>
        <v>0</v>
      </c>
      <c r="I320" s="105">
        <f t="shared" si="38"/>
        <v>644766.5100000002</v>
      </c>
    </row>
    <row r="321" spans="1:9" ht="13.5">
      <c r="A321" s="18" t="s">
        <v>169</v>
      </c>
      <c r="B321" s="19"/>
      <c r="C321" s="107"/>
      <c r="D321" s="98">
        <f t="shared" si="36"/>
        <v>0</v>
      </c>
      <c r="E321" s="107"/>
      <c r="F321" s="115">
        <f>SUM(D321)</f>
        <v>0</v>
      </c>
      <c r="G321" s="98">
        <f t="shared" si="40"/>
        <v>0</v>
      </c>
      <c r="H321" s="98">
        <f t="shared" si="40"/>
        <v>0</v>
      </c>
      <c r="I321" s="105">
        <f t="shared" si="38"/>
        <v>0</v>
      </c>
    </row>
    <row r="322" spans="1:9" ht="13.5">
      <c r="A322" s="18" t="s">
        <v>170</v>
      </c>
      <c r="B322" s="19"/>
      <c r="C322" s="107"/>
      <c r="D322" s="98">
        <f t="shared" si="36"/>
        <v>112481.37000000005</v>
      </c>
      <c r="E322" s="107"/>
      <c r="F322" s="115">
        <f>SUM(D322)</f>
        <v>112481.37000000005</v>
      </c>
      <c r="G322" s="98">
        <f t="shared" si="40"/>
        <v>0</v>
      </c>
      <c r="H322" s="98">
        <f t="shared" si="40"/>
        <v>0</v>
      </c>
      <c r="I322" s="105">
        <f t="shared" si="38"/>
        <v>112481.37000000005</v>
      </c>
    </row>
    <row r="323" spans="1:9" ht="13.5">
      <c r="A323" s="18" t="s">
        <v>171</v>
      </c>
      <c r="B323" s="19"/>
      <c r="C323" s="107"/>
      <c r="D323" s="98">
        <f t="shared" si="36"/>
        <v>993376.09</v>
      </c>
      <c r="E323" s="107"/>
      <c r="F323" s="115">
        <f t="shared" si="35"/>
        <v>993376.09</v>
      </c>
      <c r="G323" s="98">
        <f t="shared" si="40"/>
        <v>0</v>
      </c>
      <c r="H323" s="98">
        <f t="shared" si="40"/>
        <v>0</v>
      </c>
      <c r="I323" s="105">
        <f t="shared" si="38"/>
        <v>993376.09</v>
      </c>
    </row>
    <row r="324" spans="1:9" ht="13.5">
      <c r="A324" s="18" t="s">
        <v>222</v>
      </c>
      <c r="B324" s="19"/>
      <c r="C324" s="107"/>
      <c r="D324" s="98">
        <f t="shared" si="36"/>
        <v>193921.75</v>
      </c>
      <c r="E324" s="107"/>
      <c r="F324" s="115">
        <f t="shared" si="35"/>
        <v>193921.75</v>
      </c>
      <c r="G324" s="98"/>
      <c r="H324" s="98"/>
      <c r="I324" s="105">
        <f t="shared" si="38"/>
        <v>193921.75</v>
      </c>
    </row>
    <row r="325" spans="1:9" ht="13.5">
      <c r="A325" s="18" t="s">
        <v>69</v>
      </c>
      <c r="B325" s="19"/>
      <c r="C325" s="107"/>
      <c r="D325" s="98">
        <f t="shared" si="36"/>
        <v>10551.5</v>
      </c>
      <c r="E325" s="107"/>
      <c r="F325" s="115">
        <f t="shared" si="35"/>
        <v>10551.5</v>
      </c>
      <c r="G325" s="98">
        <f aca="true" t="shared" si="41" ref="G325:H327">SUM(G67-G195)</f>
        <v>0</v>
      </c>
      <c r="H325" s="98">
        <f t="shared" si="41"/>
        <v>0</v>
      </c>
      <c r="I325" s="105">
        <f t="shared" si="38"/>
        <v>10551.5</v>
      </c>
    </row>
    <row r="326" spans="1:9" ht="13.5">
      <c r="A326" s="18" t="s">
        <v>70</v>
      </c>
      <c r="B326" s="19"/>
      <c r="C326" s="107"/>
      <c r="D326" s="98">
        <f t="shared" si="36"/>
        <v>71228.54000000001</v>
      </c>
      <c r="E326" s="107"/>
      <c r="F326" s="115">
        <f t="shared" si="35"/>
        <v>71228.54000000001</v>
      </c>
      <c r="G326" s="98">
        <f t="shared" si="41"/>
        <v>0</v>
      </c>
      <c r="H326" s="98">
        <f t="shared" si="41"/>
        <v>0</v>
      </c>
      <c r="I326" s="105">
        <f t="shared" si="38"/>
        <v>71228.54000000001</v>
      </c>
    </row>
    <row r="327" spans="1:9" ht="13.5">
      <c r="A327" s="18" t="s">
        <v>71</v>
      </c>
      <c r="B327" s="19"/>
      <c r="C327" s="107"/>
      <c r="D327" s="98">
        <f t="shared" si="36"/>
        <v>305784.63</v>
      </c>
      <c r="E327" s="107"/>
      <c r="F327" s="115">
        <f t="shared" si="35"/>
        <v>305784.63</v>
      </c>
      <c r="G327" s="98">
        <f t="shared" si="41"/>
        <v>0</v>
      </c>
      <c r="H327" s="98">
        <f t="shared" si="41"/>
        <v>0</v>
      </c>
      <c r="I327" s="105">
        <f t="shared" si="38"/>
        <v>305784.63</v>
      </c>
    </row>
    <row r="328" spans="1:9" ht="13.5">
      <c r="A328" s="194" t="s">
        <v>72</v>
      </c>
      <c r="B328" s="195"/>
      <c r="C328" s="107"/>
      <c r="D328" s="98">
        <f aca="true" t="shared" si="42" ref="D328:D352">SUM(D70-D198)</f>
        <v>4239605.49</v>
      </c>
      <c r="E328" s="107"/>
      <c r="F328" s="115">
        <f t="shared" si="35"/>
        <v>4239605.49</v>
      </c>
      <c r="G328" s="199"/>
      <c r="H328" s="202"/>
      <c r="I328" s="105">
        <f t="shared" si="38"/>
        <v>4239605.49</v>
      </c>
    </row>
    <row r="329" spans="1:9" ht="13.5">
      <c r="A329" s="197" t="s">
        <v>201</v>
      </c>
      <c r="B329" s="195"/>
      <c r="C329" s="107"/>
      <c r="D329" s="98">
        <f t="shared" si="42"/>
        <v>35234.98999999999</v>
      </c>
      <c r="E329" s="107"/>
      <c r="F329" s="115">
        <f t="shared" si="35"/>
        <v>35234.98999999999</v>
      </c>
      <c r="G329" s="199"/>
      <c r="H329" s="202"/>
      <c r="I329" s="105">
        <f t="shared" si="38"/>
        <v>35234.98999999999</v>
      </c>
    </row>
    <row r="330" spans="1:9" ht="13.5">
      <c r="A330" s="197" t="s">
        <v>202</v>
      </c>
      <c r="B330" s="195"/>
      <c r="C330" s="107"/>
      <c r="D330" s="98">
        <f t="shared" si="42"/>
        <v>109029.94</v>
      </c>
      <c r="E330" s="107"/>
      <c r="F330" s="115">
        <f t="shared" si="35"/>
        <v>109029.94</v>
      </c>
      <c r="G330" s="199"/>
      <c r="H330" s="202"/>
      <c r="I330" s="105">
        <f t="shared" si="38"/>
        <v>109029.94</v>
      </c>
    </row>
    <row r="331" spans="1:9" ht="13.5">
      <c r="A331" s="197" t="s">
        <v>203</v>
      </c>
      <c r="B331" s="195"/>
      <c r="C331" s="107"/>
      <c r="D331" s="98">
        <f t="shared" si="42"/>
        <v>0</v>
      </c>
      <c r="E331" s="107"/>
      <c r="F331" s="115">
        <f t="shared" si="35"/>
        <v>0</v>
      </c>
      <c r="G331" s="199"/>
      <c r="H331" s="202"/>
      <c r="I331" s="105">
        <f t="shared" si="38"/>
        <v>0</v>
      </c>
    </row>
    <row r="332" spans="1:9" ht="13.5">
      <c r="A332" s="197" t="s">
        <v>221</v>
      </c>
      <c r="B332" s="195"/>
      <c r="C332" s="107"/>
      <c r="D332" s="98">
        <f t="shared" si="42"/>
        <v>0</v>
      </c>
      <c r="E332" s="107"/>
      <c r="F332" s="115">
        <f t="shared" si="35"/>
        <v>0</v>
      </c>
      <c r="G332" s="199"/>
      <c r="H332" s="202"/>
      <c r="I332" s="105">
        <f t="shared" si="38"/>
        <v>0</v>
      </c>
    </row>
    <row r="333" spans="1:9" ht="13.5">
      <c r="A333" s="197" t="s">
        <v>204</v>
      </c>
      <c r="B333" s="195"/>
      <c r="C333" s="107"/>
      <c r="D333" s="98">
        <f t="shared" si="42"/>
        <v>0</v>
      </c>
      <c r="E333" s="107"/>
      <c r="F333" s="115">
        <f t="shared" si="35"/>
        <v>0</v>
      </c>
      <c r="G333" s="199"/>
      <c r="H333" s="202"/>
      <c r="I333" s="105">
        <f t="shared" si="38"/>
        <v>0</v>
      </c>
    </row>
    <row r="334" spans="1:9" ht="13.5">
      <c r="A334" s="197" t="s">
        <v>205</v>
      </c>
      <c r="B334" s="195"/>
      <c r="C334" s="107"/>
      <c r="D334" s="98">
        <f t="shared" si="42"/>
        <v>14410</v>
      </c>
      <c r="E334" s="107"/>
      <c r="F334" s="115">
        <f t="shared" si="35"/>
        <v>14410</v>
      </c>
      <c r="G334" s="199"/>
      <c r="H334" s="202"/>
      <c r="I334" s="105">
        <f t="shared" si="38"/>
        <v>14410</v>
      </c>
    </row>
    <row r="335" spans="1:9" ht="13.5">
      <c r="A335" s="197" t="s">
        <v>206</v>
      </c>
      <c r="B335" s="195"/>
      <c r="C335" s="107"/>
      <c r="D335" s="98">
        <f t="shared" si="42"/>
        <v>0</v>
      </c>
      <c r="E335" s="107"/>
      <c r="F335" s="115">
        <f t="shared" si="35"/>
        <v>0</v>
      </c>
      <c r="G335" s="199"/>
      <c r="H335" s="202"/>
      <c r="I335" s="105">
        <f t="shared" si="38"/>
        <v>0</v>
      </c>
    </row>
    <row r="336" spans="1:9" ht="13.5">
      <c r="A336" s="197" t="s">
        <v>207</v>
      </c>
      <c r="B336" s="195"/>
      <c r="C336" s="107"/>
      <c r="D336" s="98">
        <f t="shared" si="42"/>
        <v>0</v>
      </c>
      <c r="E336" s="107"/>
      <c r="F336" s="115">
        <f t="shared" si="35"/>
        <v>0</v>
      </c>
      <c r="G336" s="199"/>
      <c r="H336" s="202"/>
      <c r="I336" s="105">
        <f t="shared" si="38"/>
        <v>0</v>
      </c>
    </row>
    <row r="337" spans="1:9" ht="13.5">
      <c r="A337" s="197" t="s">
        <v>208</v>
      </c>
      <c r="B337" s="195"/>
      <c r="C337" s="107"/>
      <c r="D337" s="98">
        <f t="shared" si="42"/>
        <v>150500</v>
      </c>
      <c r="E337" s="107"/>
      <c r="F337" s="115">
        <f t="shared" si="35"/>
        <v>150500</v>
      </c>
      <c r="G337" s="199"/>
      <c r="H337" s="202"/>
      <c r="I337" s="105">
        <f t="shared" si="38"/>
        <v>150500</v>
      </c>
    </row>
    <row r="338" spans="1:9" ht="13.5">
      <c r="A338" s="197" t="s">
        <v>209</v>
      </c>
      <c r="B338" s="195"/>
      <c r="C338" s="107"/>
      <c r="D338" s="98">
        <f t="shared" si="42"/>
        <v>2319146.5300000003</v>
      </c>
      <c r="E338" s="107"/>
      <c r="F338" s="115">
        <f t="shared" si="35"/>
        <v>2319146.5300000003</v>
      </c>
      <c r="G338" s="199"/>
      <c r="H338" s="202"/>
      <c r="I338" s="105">
        <f t="shared" si="38"/>
        <v>2319146.5300000003</v>
      </c>
    </row>
    <row r="339" spans="1:9" ht="13.5">
      <c r="A339" s="197" t="s">
        <v>210</v>
      </c>
      <c r="B339" s="195"/>
      <c r="C339" s="107"/>
      <c r="D339" s="98">
        <f t="shared" si="42"/>
        <v>338527.34</v>
      </c>
      <c r="E339" s="107"/>
      <c r="F339" s="115">
        <f t="shared" si="35"/>
        <v>338527.34</v>
      </c>
      <c r="G339" s="199"/>
      <c r="H339" s="202"/>
      <c r="I339" s="105">
        <f t="shared" si="38"/>
        <v>338527.34</v>
      </c>
    </row>
    <row r="340" spans="1:9" ht="13.5">
      <c r="A340" s="197" t="s">
        <v>211</v>
      </c>
      <c r="B340" s="195"/>
      <c r="C340" s="107"/>
      <c r="D340" s="98">
        <f t="shared" si="42"/>
        <v>0</v>
      </c>
      <c r="E340" s="107"/>
      <c r="F340" s="115">
        <f t="shared" si="35"/>
        <v>0</v>
      </c>
      <c r="G340" s="199"/>
      <c r="H340" s="202"/>
      <c r="I340" s="105">
        <f t="shared" si="38"/>
        <v>0</v>
      </c>
    </row>
    <row r="341" spans="1:9" ht="13.5">
      <c r="A341" s="197" t="s">
        <v>212</v>
      </c>
      <c r="B341" s="195"/>
      <c r="C341" s="107"/>
      <c r="D341" s="98">
        <f t="shared" si="42"/>
        <v>0</v>
      </c>
      <c r="E341" s="107"/>
      <c r="F341" s="115">
        <f t="shared" si="35"/>
        <v>0</v>
      </c>
      <c r="G341" s="199"/>
      <c r="H341" s="202"/>
      <c r="I341" s="105">
        <f t="shared" si="38"/>
        <v>0</v>
      </c>
    </row>
    <row r="342" spans="1:9" ht="13.5">
      <c r="A342" s="197" t="s">
        <v>213</v>
      </c>
      <c r="B342" s="195"/>
      <c r="C342" s="107"/>
      <c r="D342" s="98">
        <f t="shared" si="42"/>
        <v>0</v>
      </c>
      <c r="E342" s="107"/>
      <c r="F342" s="115">
        <f t="shared" si="35"/>
        <v>0</v>
      </c>
      <c r="G342" s="199"/>
      <c r="H342" s="202"/>
      <c r="I342" s="105">
        <f t="shared" si="38"/>
        <v>0</v>
      </c>
    </row>
    <row r="343" spans="1:9" ht="13.5">
      <c r="A343" s="197" t="s">
        <v>214</v>
      </c>
      <c r="B343" s="195"/>
      <c r="C343" s="107"/>
      <c r="D343" s="98">
        <f t="shared" si="42"/>
        <v>886470.49</v>
      </c>
      <c r="E343" s="107"/>
      <c r="F343" s="115">
        <f t="shared" si="35"/>
        <v>886470.49</v>
      </c>
      <c r="G343" s="199"/>
      <c r="H343" s="202"/>
      <c r="I343" s="105">
        <f t="shared" si="38"/>
        <v>886470.49</v>
      </c>
    </row>
    <row r="344" spans="1:9" ht="13.5">
      <c r="A344" s="197" t="s">
        <v>215</v>
      </c>
      <c r="B344" s="195"/>
      <c r="C344" s="107"/>
      <c r="D344" s="98">
        <f t="shared" si="42"/>
        <v>490425.5800000001</v>
      </c>
      <c r="E344" s="107"/>
      <c r="F344" s="115">
        <f t="shared" si="35"/>
        <v>490425.5800000001</v>
      </c>
      <c r="G344" s="199"/>
      <c r="H344" s="202"/>
      <c r="I344" s="105">
        <f t="shared" si="38"/>
        <v>490425.5800000001</v>
      </c>
    </row>
    <row r="345" spans="1:9" ht="13.5">
      <c r="A345" s="197" t="s">
        <v>216</v>
      </c>
      <c r="B345" s="195"/>
      <c r="C345" s="107"/>
      <c r="D345" s="98">
        <f t="shared" si="42"/>
        <v>205931.74</v>
      </c>
      <c r="E345" s="107"/>
      <c r="F345" s="115">
        <f t="shared" si="35"/>
        <v>205931.74</v>
      </c>
      <c r="G345" s="199"/>
      <c r="H345" s="202"/>
      <c r="I345" s="105">
        <f t="shared" si="38"/>
        <v>205931.74</v>
      </c>
    </row>
    <row r="346" spans="1:9" ht="13.5">
      <c r="A346" s="197" t="s">
        <v>217</v>
      </c>
      <c r="B346" s="195"/>
      <c r="C346" s="107"/>
      <c r="D346" s="98">
        <f t="shared" si="42"/>
        <v>470.3499999999999</v>
      </c>
      <c r="E346" s="107"/>
      <c r="F346" s="115">
        <f t="shared" si="35"/>
        <v>470.3499999999999</v>
      </c>
      <c r="G346" s="199"/>
      <c r="H346" s="202"/>
      <c r="I346" s="105">
        <f t="shared" si="38"/>
        <v>470.3499999999999</v>
      </c>
    </row>
    <row r="347" spans="1:9" ht="13.5">
      <c r="A347" s="197" t="s">
        <v>218</v>
      </c>
      <c r="B347" s="195"/>
      <c r="C347" s="107"/>
      <c r="D347" s="98">
        <f t="shared" si="42"/>
        <v>0</v>
      </c>
      <c r="E347" s="107"/>
      <c r="F347" s="115">
        <f t="shared" si="35"/>
        <v>0</v>
      </c>
      <c r="G347" s="199"/>
      <c r="H347" s="202"/>
      <c r="I347" s="105">
        <f t="shared" si="38"/>
        <v>0</v>
      </c>
    </row>
    <row r="348" spans="1:9" ht="13.5">
      <c r="A348" s="197" t="s">
        <v>219</v>
      </c>
      <c r="B348" s="195"/>
      <c r="C348" s="107"/>
      <c r="D348" s="107">
        <f t="shared" si="42"/>
        <v>0</v>
      </c>
      <c r="E348" s="107"/>
      <c r="F348" s="115">
        <f t="shared" si="35"/>
        <v>0</v>
      </c>
      <c r="G348" s="199"/>
      <c r="H348" s="202"/>
      <c r="I348" s="105">
        <f t="shared" si="38"/>
        <v>0</v>
      </c>
    </row>
    <row r="349" spans="1:9" ht="13.5">
      <c r="A349" s="207" t="s">
        <v>220</v>
      </c>
      <c r="B349" s="187"/>
      <c r="C349" s="107"/>
      <c r="D349" s="107">
        <f t="shared" si="42"/>
        <v>183274.53000000003</v>
      </c>
      <c r="E349" s="107"/>
      <c r="F349" s="117">
        <f t="shared" si="35"/>
        <v>183274.53000000003</v>
      </c>
      <c r="G349" s="107">
        <f>SUM(G70-G198)</f>
        <v>0</v>
      </c>
      <c r="H349" s="107">
        <f>SUM(H70-H198)</f>
        <v>0</v>
      </c>
      <c r="I349" s="106">
        <f t="shared" si="38"/>
        <v>183274.53000000003</v>
      </c>
    </row>
    <row r="350" spans="1:9" ht="13.5">
      <c r="A350" s="134" t="s">
        <v>238</v>
      </c>
      <c r="B350" s="134"/>
      <c r="C350" s="98"/>
      <c r="D350" s="98">
        <f t="shared" si="42"/>
        <v>82307</v>
      </c>
      <c r="E350" s="98"/>
      <c r="F350" s="116">
        <f t="shared" si="35"/>
        <v>82307</v>
      </c>
      <c r="G350" s="98"/>
      <c r="H350" s="98"/>
      <c r="I350" s="116">
        <f t="shared" si="38"/>
        <v>82307</v>
      </c>
    </row>
    <row r="351" spans="1:9" ht="13.5">
      <c r="A351" s="134" t="s">
        <v>245</v>
      </c>
      <c r="B351" s="134"/>
      <c r="C351" s="98"/>
      <c r="D351" s="98">
        <f t="shared" si="42"/>
        <v>17000000</v>
      </c>
      <c r="E351" s="98"/>
      <c r="F351" s="116">
        <f t="shared" si="35"/>
        <v>17000000</v>
      </c>
      <c r="G351" s="98"/>
      <c r="H351" s="98"/>
      <c r="I351" s="116">
        <f t="shared" si="38"/>
        <v>17000000</v>
      </c>
    </row>
    <row r="352" spans="1:9" ht="14.25" thickBot="1">
      <c r="A352" s="17" t="s">
        <v>230</v>
      </c>
      <c r="B352" s="208"/>
      <c r="C352" s="88"/>
      <c r="D352" s="100">
        <f t="shared" si="42"/>
        <v>86714.5</v>
      </c>
      <c r="E352" s="88"/>
      <c r="F352" s="214">
        <f t="shared" si="35"/>
        <v>86714.5</v>
      </c>
      <c r="G352" s="215"/>
      <c r="H352" s="216"/>
      <c r="I352" s="113">
        <f t="shared" si="38"/>
        <v>86714.5</v>
      </c>
    </row>
    <row r="353" spans="1:10" ht="14.25" thickBot="1">
      <c r="A353" s="146" t="s">
        <v>7</v>
      </c>
      <c r="B353" s="147"/>
      <c r="C353" s="92"/>
      <c r="D353" s="101">
        <f>SUM(D296:D352)</f>
        <v>36499497.44</v>
      </c>
      <c r="E353" s="92"/>
      <c r="F353" s="110">
        <f>SUM(C353:E353)</f>
        <v>36499497.44</v>
      </c>
      <c r="G353" s="114">
        <f>SUM(G296:G349)</f>
        <v>401454.79</v>
      </c>
      <c r="H353" s="114">
        <f>SUM(H295:H349)</f>
        <v>1493636</v>
      </c>
      <c r="I353" s="111">
        <f>SUM(I296:I352)</f>
        <v>38394588.22999999</v>
      </c>
      <c r="J353" s="131"/>
    </row>
    <row r="354" spans="1:9" ht="14.25" thickBot="1">
      <c r="A354" s="150" t="s">
        <v>162</v>
      </c>
      <c r="B354" s="42"/>
      <c r="C354" s="99">
        <f aca="true" t="shared" si="43" ref="C354:I354">SUM(C353+C294+C268)</f>
        <v>1280331.339999999</v>
      </c>
      <c r="D354" s="99">
        <f t="shared" si="43"/>
        <v>37725925.239999995</v>
      </c>
      <c r="E354" s="99">
        <f t="shared" si="43"/>
        <v>1089421.9900000002</v>
      </c>
      <c r="F354" s="99">
        <f t="shared" si="43"/>
        <v>40095678.56999999</v>
      </c>
      <c r="G354" s="99">
        <f t="shared" si="43"/>
        <v>859057.8899999999</v>
      </c>
      <c r="H354" s="99">
        <f t="shared" si="43"/>
        <v>1229316</v>
      </c>
      <c r="I354" s="99">
        <f t="shared" si="43"/>
        <v>42184052.459999986</v>
      </c>
    </row>
    <row r="355" spans="1:9" ht="15">
      <c r="A355" s="148" t="s">
        <v>40</v>
      </c>
      <c r="B355" s="17"/>
      <c r="C355" s="88"/>
      <c r="D355" s="88"/>
      <c r="E355" s="88"/>
      <c r="F355" s="118"/>
      <c r="G355" s="119"/>
      <c r="H355" s="119"/>
      <c r="I355" s="119">
        <f>SUM(F355:H355)</f>
        <v>0</v>
      </c>
    </row>
    <row r="356" spans="1:9" ht="13.5">
      <c r="A356" s="20" t="s">
        <v>41</v>
      </c>
      <c r="B356" s="19"/>
      <c r="C356" s="98"/>
      <c r="D356" s="98"/>
      <c r="E356" s="98"/>
      <c r="F356" s="104">
        <f>SUM(C356:E356)</f>
        <v>0</v>
      </c>
      <c r="G356" s="105"/>
      <c r="H356" s="105"/>
      <c r="I356" s="105">
        <f>SUM(F356:H356)</f>
        <v>0</v>
      </c>
    </row>
    <row r="357" spans="1:9" ht="13.5">
      <c r="A357" s="31" t="s">
        <v>116</v>
      </c>
      <c r="B357" s="19"/>
      <c r="C357" s="107">
        <f aca="true" t="shared" si="44" ref="C357:I357">SUM(C99-C227)</f>
        <v>0</v>
      </c>
      <c r="D357" s="107">
        <f t="shared" si="44"/>
        <v>0</v>
      </c>
      <c r="E357" s="107">
        <f t="shared" si="44"/>
        <v>0</v>
      </c>
      <c r="F357" s="107">
        <f t="shared" si="44"/>
        <v>0</v>
      </c>
      <c r="G357" s="107">
        <f t="shared" si="44"/>
        <v>0</v>
      </c>
      <c r="H357" s="107">
        <f t="shared" si="44"/>
        <v>300000</v>
      </c>
      <c r="I357" s="107">
        <f t="shared" si="44"/>
        <v>300000</v>
      </c>
    </row>
    <row r="358" spans="1:9" ht="13.5">
      <c r="A358" s="31" t="s">
        <v>174</v>
      </c>
      <c r="B358" s="19"/>
      <c r="C358" s="107">
        <f aca="true" t="shared" si="45" ref="C358:E360">SUM(C100-C228)</f>
        <v>600000</v>
      </c>
      <c r="D358" s="107">
        <f t="shared" si="45"/>
        <v>0</v>
      </c>
      <c r="E358" s="107">
        <f t="shared" si="45"/>
        <v>0</v>
      </c>
      <c r="F358" s="104">
        <f>SUM(C358:E358)</f>
        <v>600000</v>
      </c>
      <c r="G358" s="107">
        <f aca="true" t="shared" si="46" ref="G358:H360">SUM(G100-G228)</f>
        <v>160540</v>
      </c>
      <c r="H358" s="107">
        <f t="shared" si="46"/>
        <v>200000</v>
      </c>
      <c r="I358" s="106">
        <f>SUM(F358:H358)</f>
        <v>960540</v>
      </c>
    </row>
    <row r="359" spans="1:9" ht="13.5">
      <c r="A359" s="31" t="s">
        <v>185</v>
      </c>
      <c r="B359" s="19"/>
      <c r="C359" s="107">
        <f t="shared" si="45"/>
        <v>118423.97</v>
      </c>
      <c r="D359" s="107">
        <f t="shared" si="45"/>
        <v>0</v>
      </c>
      <c r="E359" s="107">
        <f t="shared" si="45"/>
        <v>0</v>
      </c>
      <c r="F359" s="104">
        <f>SUM(C359:E359)</f>
        <v>118423.97</v>
      </c>
      <c r="G359" s="107">
        <f t="shared" si="46"/>
        <v>0</v>
      </c>
      <c r="H359" s="107">
        <f t="shared" si="46"/>
        <v>0</v>
      </c>
      <c r="I359" s="106">
        <f>SUM(F359:H359)</f>
        <v>118423.97</v>
      </c>
    </row>
    <row r="360" spans="1:9" ht="14.25" thickBot="1">
      <c r="A360" s="31" t="s">
        <v>186</v>
      </c>
      <c r="B360" s="19"/>
      <c r="C360" s="107">
        <f t="shared" si="45"/>
        <v>328313.94999999995</v>
      </c>
      <c r="D360" s="107">
        <f t="shared" si="45"/>
        <v>0</v>
      </c>
      <c r="E360" s="107">
        <f t="shared" si="45"/>
        <v>0</v>
      </c>
      <c r="F360" s="104">
        <f>SUM(C360:E360)</f>
        <v>328313.94999999995</v>
      </c>
      <c r="G360" s="107">
        <f t="shared" si="46"/>
        <v>0</v>
      </c>
      <c r="H360" s="107">
        <f t="shared" si="46"/>
        <v>0</v>
      </c>
      <c r="I360" s="106">
        <f>SUM(F360:H360)</f>
        <v>328313.94999999995</v>
      </c>
    </row>
    <row r="361" spans="1:9" ht="14.25" thickBot="1">
      <c r="A361" s="18" t="s">
        <v>42</v>
      </c>
      <c r="B361" s="19"/>
      <c r="C361" s="101">
        <f aca="true" t="shared" si="47" ref="C361:I361">SUM(C356:C360)</f>
        <v>1046737.9199999999</v>
      </c>
      <c r="D361" s="101">
        <f t="shared" si="47"/>
        <v>0</v>
      </c>
      <c r="E361" s="101">
        <f t="shared" si="47"/>
        <v>0</v>
      </c>
      <c r="F361" s="101">
        <f t="shared" si="47"/>
        <v>1046737.9199999999</v>
      </c>
      <c r="G361" s="101">
        <f t="shared" si="47"/>
        <v>160540</v>
      </c>
      <c r="H361" s="101">
        <f t="shared" si="47"/>
        <v>500000</v>
      </c>
      <c r="I361" s="101">
        <f t="shared" si="47"/>
        <v>1707277.92</v>
      </c>
    </row>
    <row r="362" spans="1:9" ht="13.5">
      <c r="A362" s="18" t="s">
        <v>43</v>
      </c>
      <c r="B362" s="19"/>
      <c r="C362" s="88"/>
      <c r="D362" s="88"/>
      <c r="E362" s="88"/>
      <c r="F362" s="118">
        <f>SUM(C362:E362)</f>
        <v>0</v>
      </c>
      <c r="G362" s="119"/>
      <c r="H362" s="119"/>
      <c r="I362" s="119">
        <f aca="true" t="shared" si="48" ref="I362:I374">SUM(F362:H362)</f>
        <v>0</v>
      </c>
    </row>
    <row r="363" spans="1:9" ht="13.5">
      <c r="A363" s="30" t="s">
        <v>175</v>
      </c>
      <c r="B363" s="19"/>
      <c r="C363" s="107">
        <f aca="true" t="shared" si="49" ref="C363:I363">SUM(C105-C234)</f>
        <v>1006.7600000000093</v>
      </c>
      <c r="D363" s="107">
        <f t="shared" si="49"/>
        <v>0</v>
      </c>
      <c r="E363" s="107">
        <f t="shared" si="49"/>
        <v>0</v>
      </c>
      <c r="F363" s="107">
        <f t="shared" si="49"/>
        <v>1006.7600000000093</v>
      </c>
      <c r="G363" s="107">
        <f t="shared" si="49"/>
        <v>0</v>
      </c>
      <c r="H363" s="107">
        <f t="shared" si="49"/>
        <v>0</v>
      </c>
      <c r="I363" s="107">
        <f t="shared" si="49"/>
        <v>1006.7600000000093</v>
      </c>
    </row>
    <row r="364" spans="1:9" ht="13.5">
      <c r="A364" s="30" t="s">
        <v>176</v>
      </c>
      <c r="B364" s="19"/>
      <c r="C364" s="107">
        <f aca="true" t="shared" si="50" ref="C364:H367">SUM(C106-C235)</f>
        <v>0</v>
      </c>
      <c r="D364" s="107">
        <f t="shared" si="50"/>
        <v>60407.42000000004</v>
      </c>
      <c r="E364" s="107">
        <f t="shared" si="50"/>
        <v>0</v>
      </c>
      <c r="F364" s="107">
        <f t="shared" si="50"/>
        <v>60407.42000000004</v>
      </c>
      <c r="G364" s="107">
        <f t="shared" si="50"/>
        <v>0</v>
      </c>
      <c r="H364" s="107">
        <f t="shared" si="50"/>
        <v>0</v>
      </c>
      <c r="I364" s="106">
        <f t="shared" si="48"/>
        <v>60407.42000000004</v>
      </c>
    </row>
    <row r="365" spans="1:9" ht="13.5">
      <c r="A365" s="30" t="s">
        <v>177</v>
      </c>
      <c r="B365" s="19"/>
      <c r="C365" s="107">
        <f t="shared" si="50"/>
        <v>0</v>
      </c>
      <c r="D365" s="107">
        <f t="shared" si="50"/>
        <v>600000</v>
      </c>
      <c r="E365" s="107">
        <f t="shared" si="50"/>
        <v>0</v>
      </c>
      <c r="F365" s="107">
        <f t="shared" si="50"/>
        <v>600000</v>
      </c>
      <c r="G365" s="107">
        <f t="shared" si="50"/>
        <v>0</v>
      </c>
      <c r="H365" s="107">
        <f t="shared" si="50"/>
        <v>0</v>
      </c>
      <c r="I365" s="106">
        <f t="shared" si="48"/>
        <v>600000</v>
      </c>
    </row>
    <row r="366" spans="1:9" ht="13.5">
      <c r="A366" s="30" t="s">
        <v>178</v>
      </c>
      <c r="B366" s="19"/>
      <c r="C366" s="107">
        <f t="shared" si="50"/>
        <v>762000</v>
      </c>
      <c r="D366" s="107">
        <f t="shared" si="50"/>
        <v>0</v>
      </c>
      <c r="E366" s="107">
        <f t="shared" si="50"/>
        <v>0</v>
      </c>
      <c r="F366" s="107">
        <f t="shared" si="50"/>
        <v>762000</v>
      </c>
      <c r="G366" s="107">
        <f t="shared" si="50"/>
        <v>0</v>
      </c>
      <c r="H366" s="107">
        <f t="shared" si="50"/>
        <v>0</v>
      </c>
      <c r="I366" s="106">
        <f t="shared" si="48"/>
        <v>762000</v>
      </c>
    </row>
    <row r="367" spans="1:9" ht="13.5">
      <c r="A367" s="18" t="s">
        <v>180</v>
      </c>
      <c r="B367" s="19"/>
      <c r="C367" s="107">
        <f t="shared" si="50"/>
        <v>0</v>
      </c>
      <c r="D367" s="107">
        <f t="shared" si="50"/>
        <v>0</v>
      </c>
      <c r="E367" s="107">
        <f t="shared" si="50"/>
        <v>0</v>
      </c>
      <c r="F367" s="107">
        <f t="shared" si="50"/>
        <v>0</v>
      </c>
      <c r="G367" s="107">
        <f t="shared" si="50"/>
        <v>0</v>
      </c>
      <c r="H367" s="107">
        <f t="shared" si="50"/>
        <v>400000</v>
      </c>
      <c r="I367" s="106">
        <f t="shared" si="48"/>
        <v>400000</v>
      </c>
    </row>
    <row r="368" spans="1:9" ht="13.5">
      <c r="A368" s="30" t="s">
        <v>188</v>
      </c>
      <c r="B368" s="19"/>
      <c r="C368" s="107">
        <f aca="true" t="shared" si="51" ref="C368:H374">SUM(C110-C240)</f>
        <v>0</v>
      </c>
      <c r="D368" s="107">
        <f t="shared" si="51"/>
        <v>61295.39</v>
      </c>
      <c r="E368" s="107">
        <f t="shared" si="51"/>
        <v>0</v>
      </c>
      <c r="F368" s="107">
        <f t="shared" si="51"/>
        <v>61295.39</v>
      </c>
      <c r="G368" s="107">
        <f t="shared" si="51"/>
        <v>0</v>
      </c>
      <c r="H368" s="107">
        <f t="shared" si="51"/>
        <v>0</v>
      </c>
      <c r="I368" s="106">
        <f t="shared" si="48"/>
        <v>61295.39</v>
      </c>
    </row>
    <row r="369" spans="1:9" ht="13.5">
      <c r="A369" s="30" t="s">
        <v>189</v>
      </c>
      <c r="B369" s="19"/>
      <c r="C369" s="107">
        <f t="shared" si="51"/>
        <v>0</v>
      </c>
      <c r="D369" s="107">
        <f t="shared" si="51"/>
        <v>400000</v>
      </c>
      <c r="E369" s="107">
        <f t="shared" si="51"/>
        <v>0</v>
      </c>
      <c r="F369" s="107">
        <f t="shared" si="51"/>
        <v>400000</v>
      </c>
      <c r="G369" s="107">
        <f t="shared" si="51"/>
        <v>0</v>
      </c>
      <c r="H369" s="107">
        <f t="shared" si="51"/>
        <v>0</v>
      </c>
      <c r="I369" s="106">
        <f t="shared" si="48"/>
        <v>400000</v>
      </c>
    </row>
    <row r="370" spans="1:9" ht="13.5">
      <c r="A370" s="30" t="s">
        <v>190</v>
      </c>
      <c r="B370" s="19"/>
      <c r="C370" s="107">
        <f t="shared" si="51"/>
        <v>0</v>
      </c>
      <c r="D370" s="107">
        <f t="shared" si="51"/>
        <v>300000</v>
      </c>
      <c r="E370" s="107">
        <f t="shared" si="51"/>
        <v>0</v>
      </c>
      <c r="F370" s="107">
        <f t="shared" si="51"/>
        <v>300000</v>
      </c>
      <c r="G370" s="107">
        <f t="shared" si="51"/>
        <v>0</v>
      </c>
      <c r="H370" s="107">
        <f t="shared" si="51"/>
        <v>0</v>
      </c>
      <c r="I370" s="106">
        <f t="shared" si="48"/>
        <v>300000</v>
      </c>
    </row>
    <row r="371" spans="1:9" ht="13.5">
      <c r="A371" s="30" t="s">
        <v>191</v>
      </c>
      <c r="B371" s="19"/>
      <c r="C371" s="107">
        <f t="shared" si="51"/>
        <v>0</v>
      </c>
      <c r="D371" s="107">
        <f t="shared" si="51"/>
        <v>400000</v>
      </c>
      <c r="E371" s="107">
        <f t="shared" si="51"/>
        <v>0</v>
      </c>
      <c r="F371" s="107">
        <f t="shared" si="51"/>
        <v>400000</v>
      </c>
      <c r="G371" s="107">
        <f t="shared" si="51"/>
        <v>0</v>
      </c>
      <c r="H371" s="107">
        <f t="shared" si="51"/>
        <v>0</v>
      </c>
      <c r="I371" s="115">
        <f t="shared" si="48"/>
        <v>400000</v>
      </c>
    </row>
    <row r="372" spans="1:9" ht="13.5">
      <c r="A372" s="30" t="s">
        <v>192</v>
      </c>
      <c r="B372" s="19"/>
      <c r="C372" s="107">
        <f t="shared" si="51"/>
        <v>0</v>
      </c>
      <c r="D372" s="107">
        <f t="shared" si="51"/>
        <v>900000</v>
      </c>
      <c r="E372" s="107">
        <f t="shared" si="51"/>
        <v>0</v>
      </c>
      <c r="F372" s="107">
        <f t="shared" si="51"/>
        <v>900000</v>
      </c>
      <c r="G372" s="107">
        <f t="shared" si="51"/>
        <v>0</v>
      </c>
      <c r="H372" s="107">
        <f t="shared" si="51"/>
        <v>0</v>
      </c>
      <c r="I372" s="178">
        <f t="shared" si="48"/>
        <v>900000</v>
      </c>
    </row>
    <row r="373" spans="1:9" ht="13.5">
      <c r="A373" s="30" t="s">
        <v>194</v>
      </c>
      <c r="B373" s="19"/>
      <c r="C373" s="107">
        <f t="shared" si="51"/>
        <v>634169.09</v>
      </c>
      <c r="D373" s="107">
        <f t="shared" si="51"/>
        <v>0</v>
      </c>
      <c r="E373" s="107">
        <f t="shared" si="51"/>
        <v>0</v>
      </c>
      <c r="F373" s="107">
        <f t="shared" si="51"/>
        <v>634169.09</v>
      </c>
      <c r="G373" s="107">
        <f t="shared" si="51"/>
        <v>0</v>
      </c>
      <c r="H373" s="107">
        <f t="shared" si="51"/>
        <v>0</v>
      </c>
      <c r="I373" s="178">
        <f t="shared" si="48"/>
        <v>634169.09</v>
      </c>
    </row>
    <row r="374" spans="1:9" ht="14.25" thickBot="1">
      <c r="A374" s="30" t="s">
        <v>193</v>
      </c>
      <c r="B374" s="19"/>
      <c r="C374" s="107">
        <f t="shared" si="51"/>
        <v>400000</v>
      </c>
      <c r="D374" s="107">
        <f t="shared" si="51"/>
        <v>0</v>
      </c>
      <c r="E374" s="107">
        <f t="shared" si="51"/>
        <v>0</v>
      </c>
      <c r="F374" s="107">
        <f t="shared" si="51"/>
        <v>400000</v>
      </c>
      <c r="G374" s="107">
        <f t="shared" si="51"/>
        <v>0</v>
      </c>
      <c r="H374" s="107">
        <f t="shared" si="51"/>
        <v>0</v>
      </c>
      <c r="I374" s="178">
        <f t="shared" si="48"/>
        <v>400000</v>
      </c>
    </row>
    <row r="375" spans="1:9" ht="14.25" thickBot="1">
      <c r="A375" s="18" t="s">
        <v>42</v>
      </c>
      <c r="B375" s="19"/>
      <c r="C375" s="101">
        <f aca="true" t="shared" si="52" ref="C375:I375">SUM(C363:C374)</f>
        <v>1797175.85</v>
      </c>
      <c r="D375" s="101">
        <f t="shared" si="52"/>
        <v>2721702.81</v>
      </c>
      <c r="E375" s="101">
        <f t="shared" si="52"/>
        <v>0</v>
      </c>
      <c r="F375" s="101">
        <f t="shared" si="52"/>
        <v>4518878.66</v>
      </c>
      <c r="G375" s="101">
        <f t="shared" si="52"/>
        <v>0</v>
      </c>
      <c r="H375" s="101">
        <f t="shared" si="52"/>
        <v>400000</v>
      </c>
      <c r="I375" s="101">
        <f t="shared" si="52"/>
        <v>4918878.66</v>
      </c>
    </row>
    <row r="376" spans="1:9" ht="14.25" thickBot="1">
      <c r="A376" s="173" t="s">
        <v>48</v>
      </c>
      <c r="B376" s="180"/>
      <c r="C376" s="107">
        <f aca="true" t="shared" si="53" ref="C376:I376">SUM(C118-C248)</f>
        <v>257791.79000000004</v>
      </c>
      <c r="D376" s="107">
        <f t="shared" si="53"/>
        <v>151007.03000000003</v>
      </c>
      <c r="E376" s="107">
        <f t="shared" si="53"/>
        <v>850807.19</v>
      </c>
      <c r="F376" s="107">
        <f t="shared" si="53"/>
        <v>1259606.0100000002</v>
      </c>
      <c r="G376" s="107">
        <f t="shared" si="53"/>
        <v>182511</v>
      </c>
      <c r="H376" s="107">
        <f t="shared" si="53"/>
        <v>450000</v>
      </c>
      <c r="I376" s="107">
        <f t="shared" si="53"/>
        <v>1892117.0100000002</v>
      </c>
    </row>
    <row r="377" spans="1:9" ht="14.25" thickBot="1">
      <c r="A377" s="82" t="s">
        <v>117</v>
      </c>
      <c r="B377" s="83"/>
      <c r="C377" s="92">
        <f>SUM(C376+C375+C361)</f>
        <v>3101705.56</v>
      </c>
      <c r="D377" s="92">
        <f aca="true" t="shared" si="54" ref="D377:I377">SUM(D376+D375+D361)</f>
        <v>2872709.84</v>
      </c>
      <c r="E377" s="92">
        <f t="shared" si="54"/>
        <v>850807.19</v>
      </c>
      <c r="F377" s="92">
        <f t="shared" si="54"/>
        <v>6825222.59</v>
      </c>
      <c r="G377" s="92">
        <f t="shared" si="54"/>
        <v>343051</v>
      </c>
      <c r="H377" s="92">
        <f t="shared" si="54"/>
        <v>1350000</v>
      </c>
      <c r="I377" s="92">
        <f t="shared" si="54"/>
        <v>8518273.59</v>
      </c>
    </row>
    <row r="378" spans="1:9" ht="15">
      <c r="A378" s="84" t="s">
        <v>118</v>
      </c>
      <c r="B378" s="81"/>
      <c r="C378" s="100"/>
      <c r="D378" s="100"/>
      <c r="E378" s="100"/>
      <c r="F378" s="112"/>
      <c r="G378" s="113"/>
      <c r="H378" s="113"/>
      <c r="I378" s="113"/>
    </row>
    <row r="379" spans="1:10" ht="13.5">
      <c r="A379" s="18" t="s">
        <v>119</v>
      </c>
      <c r="B379" s="19"/>
      <c r="C379" s="98">
        <f aca="true" t="shared" si="55" ref="C379:I381">SUM(C121-C252)</f>
        <v>0</v>
      </c>
      <c r="D379" s="98">
        <f t="shared" si="55"/>
        <v>0</v>
      </c>
      <c r="E379" s="98">
        <f t="shared" si="55"/>
        <v>38395.29000000004</v>
      </c>
      <c r="F379" s="98">
        <f t="shared" si="55"/>
        <v>38395.29000000004</v>
      </c>
      <c r="G379" s="98">
        <f t="shared" si="55"/>
        <v>0</v>
      </c>
      <c r="H379" s="98">
        <f t="shared" si="55"/>
        <v>0</v>
      </c>
      <c r="I379" s="98">
        <f t="shared" si="55"/>
        <v>38395.29000000004</v>
      </c>
      <c r="J379" s="59"/>
    </row>
    <row r="380" spans="1:10" ht="13.5">
      <c r="A380" s="18" t="s">
        <v>120</v>
      </c>
      <c r="B380" s="19"/>
      <c r="C380" s="98">
        <f t="shared" si="55"/>
        <v>0</v>
      </c>
      <c r="D380" s="98">
        <f t="shared" si="55"/>
        <v>0</v>
      </c>
      <c r="E380" s="98">
        <f t="shared" si="55"/>
        <v>453520.3</v>
      </c>
      <c r="F380" s="98">
        <f t="shared" si="55"/>
        <v>453520.3</v>
      </c>
      <c r="G380" s="98">
        <f t="shared" si="55"/>
        <v>0</v>
      </c>
      <c r="H380" s="98">
        <f t="shared" si="55"/>
        <v>0</v>
      </c>
      <c r="I380" s="98">
        <f t="shared" si="55"/>
        <v>453520.3</v>
      </c>
      <c r="J380" s="59"/>
    </row>
    <row r="381" spans="1:10" ht="14.25" thickBot="1">
      <c r="A381" s="18" t="s">
        <v>179</v>
      </c>
      <c r="B381" s="19"/>
      <c r="C381" s="98">
        <f t="shared" si="55"/>
        <v>0</v>
      </c>
      <c r="D381" s="98">
        <f t="shared" si="55"/>
        <v>774999.99</v>
      </c>
      <c r="E381" s="98">
        <f t="shared" si="55"/>
        <v>0</v>
      </c>
      <c r="F381" s="98">
        <f t="shared" si="55"/>
        <v>774999.99</v>
      </c>
      <c r="G381" s="98">
        <f t="shared" si="55"/>
        <v>0</v>
      </c>
      <c r="H381" s="98">
        <f t="shared" si="55"/>
        <v>0</v>
      </c>
      <c r="I381" s="98">
        <f t="shared" si="55"/>
        <v>774999.99</v>
      </c>
      <c r="J381" s="59"/>
    </row>
    <row r="382" spans="1:10" ht="15.75" thickBot="1">
      <c r="A382" s="22" t="s">
        <v>121</v>
      </c>
      <c r="B382" s="19"/>
      <c r="C382" s="101">
        <f aca="true" t="shared" si="56" ref="C382:I382">SUM(C378:C381)</f>
        <v>0</v>
      </c>
      <c r="D382" s="101">
        <f t="shared" si="56"/>
        <v>774999.99</v>
      </c>
      <c r="E382" s="101">
        <f t="shared" si="56"/>
        <v>491915.59</v>
      </c>
      <c r="F382" s="101">
        <f t="shared" si="56"/>
        <v>1266915.58</v>
      </c>
      <c r="G382" s="101">
        <f t="shared" si="56"/>
        <v>0</v>
      </c>
      <c r="H382" s="101">
        <f t="shared" si="56"/>
        <v>0</v>
      </c>
      <c r="I382" s="101">
        <f t="shared" si="56"/>
        <v>1266915.58</v>
      </c>
      <c r="J382" s="59"/>
    </row>
    <row r="383" spans="1:10" ht="13.5" thickBot="1">
      <c r="A383" s="34" t="s">
        <v>122</v>
      </c>
      <c r="B383" s="35"/>
      <c r="C383" s="99">
        <f aca="true" t="shared" si="57" ref="C383:I383">SUM(C382+C377+C354)</f>
        <v>4382036.8999999985</v>
      </c>
      <c r="D383" s="99">
        <f t="shared" si="57"/>
        <v>41373635.06999999</v>
      </c>
      <c r="E383" s="99">
        <f>SUM(E382+E377+E354)</f>
        <v>2432144.7700000005</v>
      </c>
      <c r="F383" s="99">
        <f t="shared" si="57"/>
        <v>48187816.739999995</v>
      </c>
      <c r="G383" s="99">
        <f t="shared" si="57"/>
        <v>1202108.89</v>
      </c>
      <c r="H383" s="99">
        <f t="shared" si="57"/>
        <v>2579316</v>
      </c>
      <c r="I383" s="99">
        <f t="shared" si="57"/>
        <v>51969241.62999999</v>
      </c>
      <c r="J383" s="59"/>
    </row>
    <row r="384" spans="1:10" ht="12.75">
      <c r="A384" s="36" t="s">
        <v>123</v>
      </c>
      <c r="B384" s="33"/>
      <c r="C384" s="100"/>
      <c r="D384" s="100"/>
      <c r="E384" s="100"/>
      <c r="F384" s="100"/>
      <c r="G384" s="120"/>
      <c r="H384" s="120"/>
      <c r="I384" s="120"/>
      <c r="J384" s="59"/>
    </row>
    <row r="385" spans="1:9" ht="12.75">
      <c r="A385" s="37" t="s">
        <v>80</v>
      </c>
      <c r="B385" s="32"/>
      <c r="C385" s="98">
        <f aca="true" t="shared" si="58" ref="C385:I386">SUM(C127-C258)</f>
        <v>158830</v>
      </c>
      <c r="D385" s="98">
        <f t="shared" si="58"/>
        <v>0</v>
      </c>
      <c r="E385" s="98">
        <f t="shared" si="58"/>
        <v>0</v>
      </c>
      <c r="F385" s="98">
        <f t="shared" si="58"/>
        <v>158830</v>
      </c>
      <c r="G385" s="98">
        <f t="shared" si="58"/>
        <v>0</v>
      </c>
      <c r="H385" s="98">
        <f t="shared" si="58"/>
        <v>0</v>
      </c>
      <c r="I385" s="98">
        <f t="shared" si="58"/>
        <v>158830</v>
      </c>
    </row>
    <row r="386" spans="1:9" ht="13.5" thickBot="1">
      <c r="A386" s="40" t="s">
        <v>81</v>
      </c>
      <c r="B386" s="33"/>
      <c r="C386" s="98">
        <f t="shared" si="58"/>
        <v>641718</v>
      </c>
      <c r="D386" s="98">
        <f t="shared" si="58"/>
        <v>0</v>
      </c>
      <c r="E386" s="98">
        <f t="shared" si="58"/>
        <v>0</v>
      </c>
      <c r="F386" s="98">
        <f t="shared" si="58"/>
        <v>641718</v>
      </c>
      <c r="G386" s="98">
        <f t="shared" si="58"/>
        <v>0</v>
      </c>
      <c r="H386" s="98">
        <f t="shared" si="58"/>
        <v>0</v>
      </c>
      <c r="I386" s="98">
        <f t="shared" si="58"/>
        <v>641718</v>
      </c>
    </row>
    <row r="387" spans="1:9" ht="13.5" thickBot="1">
      <c r="A387" s="39" t="s">
        <v>51</v>
      </c>
      <c r="B387" s="38"/>
      <c r="C387" s="101">
        <f>SUM(C385:C386)</f>
        <v>800548</v>
      </c>
      <c r="D387" s="92"/>
      <c r="E387" s="92">
        <f>SUM(E385:E386)</f>
        <v>0</v>
      </c>
      <c r="F387" s="101">
        <f>SUM(F385:F386)</f>
        <v>800548</v>
      </c>
      <c r="G387" s="92">
        <f>SUM(G385:G386)</f>
        <v>0</v>
      </c>
      <c r="H387" s="92">
        <f>SUM(H385:H386)</f>
        <v>0</v>
      </c>
      <c r="I387" s="101">
        <f>SUM(I385:I386)</f>
        <v>800548</v>
      </c>
    </row>
    <row r="388" spans="1:9" ht="13.5" thickBot="1">
      <c r="A388" s="39" t="s">
        <v>243</v>
      </c>
      <c r="B388" s="38"/>
      <c r="C388" s="122">
        <f aca="true" t="shared" si="59" ref="C388:I388">SUM(C387+C383)</f>
        <v>5182584.8999999985</v>
      </c>
      <c r="D388" s="122">
        <f t="shared" si="59"/>
        <v>41373635.06999999</v>
      </c>
      <c r="E388" s="122">
        <f t="shared" si="59"/>
        <v>2432144.7700000005</v>
      </c>
      <c r="F388" s="122">
        <f t="shared" si="59"/>
        <v>48988364.739999995</v>
      </c>
      <c r="G388" s="122">
        <f t="shared" si="59"/>
        <v>1202108.89</v>
      </c>
      <c r="H388" s="122">
        <f t="shared" si="59"/>
        <v>2579316</v>
      </c>
      <c r="I388" s="122">
        <f t="shared" si="59"/>
        <v>52769789.62999999</v>
      </c>
    </row>
    <row r="389" spans="1:3" ht="12.75">
      <c r="A389" s="185" t="s">
        <v>199</v>
      </c>
      <c r="C389" s="65"/>
    </row>
    <row r="390" spans="1:8" ht="12.75">
      <c r="A390" s="48" t="s">
        <v>54</v>
      </c>
      <c r="B390" s="41"/>
      <c r="C390" s="1" t="s">
        <v>249</v>
      </c>
      <c r="E390" s="65"/>
      <c r="H390" s="65" t="s">
        <v>227</v>
      </c>
    </row>
    <row r="393" spans="1:8" ht="12.75">
      <c r="A393" s="23" t="s">
        <v>151</v>
      </c>
      <c r="B393" s="23"/>
      <c r="C393" s="23" t="s">
        <v>55</v>
      </c>
      <c r="D393" s="23"/>
      <c r="E393" s="23"/>
      <c r="F393" s="23"/>
      <c r="G393" s="23"/>
      <c r="H393" s="23" t="s">
        <v>149</v>
      </c>
    </row>
    <row r="394" spans="1:8" ht="12.75">
      <c r="A394" s="65" t="s">
        <v>152</v>
      </c>
      <c r="C394" s="1" t="s">
        <v>67</v>
      </c>
      <c r="H394" s="65" t="s">
        <v>150</v>
      </c>
    </row>
    <row r="395" spans="1:6" ht="13.5">
      <c r="A395" s="51"/>
      <c r="B395" s="51"/>
      <c r="C395" s="50" t="s">
        <v>197</v>
      </c>
      <c r="D395" s="50"/>
      <c r="E395" s="50"/>
      <c r="F395" s="50"/>
    </row>
    <row r="396" spans="1:6" ht="13.5">
      <c r="A396" s="51"/>
      <c r="B396" s="51"/>
      <c r="C396" s="50"/>
      <c r="D396" s="50"/>
      <c r="E396" s="50"/>
      <c r="F396" s="50"/>
    </row>
    <row r="397" spans="1:6" ht="13.5">
      <c r="A397" s="55"/>
      <c r="B397" s="51"/>
      <c r="C397" s="50"/>
      <c r="D397" s="50"/>
      <c r="E397" s="50"/>
      <c r="F397" s="50"/>
    </row>
    <row r="398" spans="1:7" ht="13.5">
      <c r="A398" s="53"/>
      <c r="B398" s="61"/>
      <c r="C398" s="50"/>
      <c r="D398" s="50"/>
      <c r="E398" s="50"/>
      <c r="F398" s="50"/>
      <c r="G398" s="52"/>
    </row>
    <row r="399" spans="1:2" ht="13.5">
      <c r="A399" s="53"/>
      <c r="B399" s="95"/>
    </row>
    <row r="400" spans="1:2" ht="13.5">
      <c r="A400" s="53"/>
      <c r="B400" s="95"/>
    </row>
    <row r="401" spans="1:2" ht="13.5">
      <c r="A401" s="53"/>
      <c r="B401" s="96"/>
    </row>
    <row r="402" ht="12.75">
      <c r="A402" s="54"/>
    </row>
    <row r="403" spans="1:2" ht="13.5">
      <c r="A403" s="53"/>
      <c r="B403" s="58"/>
    </row>
    <row r="404" spans="1:2" ht="13.5">
      <c r="A404" s="53"/>
      <c r="B404" s="58"/>
    </row>
    <row r="405" spans="1:2" ht="13.5">
      <c r="A405" s="53"/>
      <c r="B405" s="58"/>
    </row>
    <row r="406" spans="1:2" ht="13.5">
      <c r="A406" s="56"/>
      <c r="B406" s="58"/>
    </row>
    <row r="407" spans="1:2" ht="13.5">
      <c r="A407" s="56"/>
      <c r="B407" s="58"/>
    </row>
    <row r="408" spans="1:2" ht="13.5">
      <c r="A408" s="53"/>
      <c r="B408" s="58"/>
    </row>
    <row r="409" spans="1:2" ht="13.5">
      <c r="A409" s="53"/>
      <c r="B409" s="96"/>
    </row>
    <row r="410" spans="1:2" ht="12.75">
      <c r="A410" s="54"/>
      <c r="B410" s="97"/>
    </row>
  </sheetData>
  <sheetProtection/>
  <printOptions horizontalCentered="1" verticalCentered="1"/>
  <pageMargins left="0.7" right="0.7" top="0.75" bottom="0.75" header="0.3" footer="0.3"/>
  <pageSetup horizontalDpi="300" verticalDpi="300" orientation="landscape" paperSize="5" r:id="rId1"/>
  <headerFooter alignWithMargins="0">
    <oddFooter>&amp;CPage &amp;P of &amp;N</oddFooter>
  </headerFooter>
  <rowBreaks count="2" manualBreakCount="2">
    <brk id="31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5"/>
  <sheetViews>
    <sheetView zoomScale="90" zoomScaleNormal="90" zoomScalePageLayoutView="0" workbookViewId="0" topLeftCell="A14">
      <selection activeCell="K43" sqref="K43"/>
    </sheetView>
  </sheetViews>
  <sheetFormatPr defaultColWidth="9.00390625" defaultRowHeight="12.75"/>
  <cols>
    <col min="1" max="1" width="29.00390625" style="1" customWidth="1"/>
    <col min="2" max="3" width="13.28125" style="1" customWidth="1"/>
    <col min="4" max="4" width="12.7109375" style="1" customWidth="1"/>
    <col min="5" max="5" width="12.57421875" style="1" customWidth="1"/>
    <col min="6" max="6" width="10.8515625" style="1" customWidth="1"/>
    <col min="7" max="7" width="11.57421875" style="1" customWidth="1"/>
    <col min="8" max="8" width="11.28125" style="1" customWidth="1"/>
    <col min="9" max="9" width="12.421875" style="1" customWidth="1"/>
    <col min="10" max="10" width="11.57421875" style="1" customWidth="1"/>
    <col min="11" max="11" width="10.28125" style="1" customWidth="1"/>
    <col min="12" max="12" width="11.140625" style="1" customWidth="1"/>
    <col min="13" max="13" width="16.421875" style="1" customWidth="1"/>
    <col min="14" max="16384" width="9.00390625" style="1" customWidth="1"/>
  </cols>
  <sheetData>
    <row r="1" ht="12.75">
      <c r="C1" s="65" t="s">
        <v>84</v>
      </c>
    </row>
    <row r="2" ht="12.75">
      <c r="C2" s="65" t="s">
        <v>85</v>
      </c>
    </row>
    <row r="5" spans="4:5" ht="12.75">
      <c r="D5" s="65"/>
      <c r="E5" s="41" t="s">
        <v>86</v>
      </c>
    </row>
    <row r="6" spans="1:4" ht="12.75">
      <c r="A6" s="23"/>
      <c r="B6" s="23"/>
      <c r="C6" s="23" t="s">
        <v>104</v>
      </c>
      <c r="D6" s="23"/>
    </row>
    <row r="7" ht="12" customHeight="1">
      <c r="D7" s="65" t="s">
        <v>83</v>
      </c>
    </row>
    <row r="8" spans="4:5" ht="12" customHeight="1">
      <c r="D8" s="65"/>
      <c r="E8" s="41" t="s">
        <v>181</v>
      </c>
    </row>
    <row r="9" ht="12" customHeight="1">
      <c r="D9" s="65"/>
    </row>
    <row r="10" ht="12.75">
      <c r="E10" s="23" t="s">
        <v>56</v>
      </c>
    </row>
    <row r="11" spans="1:11" ht="13.5" thickBot="1">
      <c r="A11" s="66"/>
      <c r="B11" s="66"/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 thickBot="1">
      <c r="A12" s="68"/>
      <c r="B12" s="68"/>
      <c r="C12" s="69" t="s">
        <v>88</v>
      </c>
      <c r="D12" s="68" t="s">
        <v>90</v>
      </c>
      <c r="E12" s="69" t="s">
        <v>92</v>
      </c>
      <c r="F12" s="70" t="s">
        <v>88</v>
      </c>
      <c r="G12" s="71" t="s">
        <v>95</v>
      </c>
      <c r="H12" s="72" t="s">
        <v>88</v>
      </c>
      <c r="I12" s="72" t="s">
        <v>98</v>
      </c>
      <c r="J12" s="72" t="s">
        <v>100</v>
      </c>
      <c r="K12" s="72" t="s">
        <v>102</v>
      </c>
    </row>
    <row r="13" spans="1:11" ht="13.5" thickBot="1">
      <c r="A13" s="86" t="s">
        <v>87</v>
      </c>
      <c r="B13" s="73" t="s">
        <v>7</v>
      </c>
      <c r="C13" s="74" t="s">
        <v>89</v>
      </c>
      <c r="D13" s="73" t="s">
        <v>91</v>
      </c>
      <c r="E13" s="74" t="s">
        <v>93</v>
      </c>
      <c r="F13" s="75" t="s">
        <v>94</v>
      </c>
      <c r="G13" s="76" t="s">
        <v>96</v>
      </c>
      <c r="H13" s="77" t="s">
        <v>97</v>
      </c>
      <c r="I13" s="77" t="s">
        <v>99</v>
      </c>
      <c r="J13" s="77" t="s">
        <v>101</v>
      </c>
      <c r="K13" s="77" t="s">
        <v>103</v>
      </c>
    </row>
    <row r="14" spans="1:13" ht="12.75">
      <c r="A14" s="87" t="s">
        <v>112</v>
      </c>
      <c r="B14" s="88"/>
      <c r="C14" s="57"/>
      <c r="D14" s="89"/>
      <c r="E14" s="89"/>
      <c r="F14" s="57"/>
      <c r="G14" s="89"/>
      <c r="H14" s="57"/>
      <c r="I14" s="89"/>
      <c r="J14" s="57"/>
      <c r="K14" s="89"/>
      <c r="L14" s="62"/>
      <c r="M14" s="62"/>
    </row>
    <row r="15" spans="1:13" ht="12.75">
      <c r="A15" s="88"/>
      <c r="B15" s="88"/>
      <c r="C15" s="57"/>
      <c r="D15" s="88"/>
      <c r="E15" s="88"/>
      <c r="F15" s="57"/>
      <c r="G15" s="88"/>
      <c r="H15" s="57"/>
      <c r="I15" s="88"/>
      <c r="J15" s="57"/>
      <c r="K15" s="88"/>
      <c r="L15" s="62"/>
      <c r="M15" s="62"/>
    </row>
    <row r="16" spans="1:13" ht="12.75">
      <c r="A16" s="88" t="s">
        <v>105</v>
      </c>
      <c r="B16" s="88">
        <f>SUM(C16:K16)</f>
        <v>0</v>
      </c>
      <c r="C16" s="57"/>
      <c r="D16" s="88"/>
      <c r="E16" s="88"/>
      <c r="F16" s="57"/>
      <c r="G16" s="88"/>
      <c r="H16" s="57"/>
      <c r="I16" s="88"/>
      <c r="J16" s="57"/>
      <c r="K16" s="88"/>
      <c r="L16" s="62"/>
      <c r="M16" s="62"/>
    </row>
    <row r="17" spans="1:13" ht="12.75">
      <c r="A17" s="88" t="s">
        <v>125</v>
      </c>
      <c r="B17" s="88"/>
      <c r="C17" s="57"/>
      <c r="D17" s="88"/>
      <c r="E17" s="88"/>
      <c r="F17" s="57"/>
      <c r="G17" s="88"/>
      <c r="H17" s="57"/>
      <c r="I17" s="88"/>
      <c r="J17" s="57"/>
      <c r="K17" s="88"/>
      <c r="L17" s="62"/>
      <c r="M17" s="62"/>
    </row>
    <row r="18" spans="1:13" ht="12.75">
      <c r="A18" s="88" t="s">
        <v>126</v>
      </c>
      <c r="B18" s="88"/>
      <c r="C18" s="57"/>
      <c r="D18" s="88"/>
      <c r="E18" s="88"/>
      <c r="F18" s="57"/>
      <c r="G18" s="88"/>
      <c r="H18" s="57"/>
      <c r="I18" s="88"/>
      <c r="J18" s="57"/>
      <c r="K18" s="88"/>
      <c r="L18" s="62"/>
      <c r="M18" s="62"/>
    </row>
    <row r="19" spans="1:13" ht="12.75">
      <c r="A19" s="88" t="s">
        <v>132</v>
      </c>
      <c r="B19" s="88"/>
      <c r="C19" s="57"/>
      <c r="D19" s="88"/>
      <c r="E19" s="88"/>
      <c r="F19" s="57"/>
      <c r="G19" s="88"/>
      <c r="H19" s="57"/>
      <c r="I19" s="88"/>
      <c r="J19" s="57"/>
      <c r="K19" s="88"/>
      <c r="L19" s="62"/>
      <c r="M19" s="62"/>
    </row>
    <row r="20" spans="1:13" ht="12.75">
      <c r="A20" s="88" t="s">
        <v>127</v>
      </c>
      <c r="B20" s="88"/>
      <c r="C20" s="57"/>
      <c r="D20" s="88"/>
      <c r="E20" s="88"/>
      <c r="F20" s="57"/>
      <c r="G20" s="88"/>
      <c r="H20" s="57"/>
      <c r="I20" s="88"/>
      <c r="J20" s="57"/>
      <c r="K20" s="88"/>
      <c r="L20" s="62"/>
      <c r="M20" s="62"/>
    </row>
    <row r="21" spans="1:13" ht="12.75">
      <c r="A21" s="88" t="s">
        <v>106</v>
      </c>
      <c r="B21" s="88">
        <f aca="true" t="shared" si="0" ref="B21:B30">SUM(C21:K21)</f>
        <v>0</v>
      </c>
      <c r="C21" s="57"/>
      <c r="D21" s="88"/>
      <c r="E21" s="88"/>
      <c r="F21" s="57"/>
      <c r="G21" s="88"/>
      <c r="H21" s="57"/>
      <c r="I21" s="88"/>
      <c r="J21" s="57"/>
      <c r="K21" s="88"/>
      <c r="L21" s="62"/>
      <c r="M21" s="62"/>
    </row>
    <row r="22" spans="1:13" ht="12.75">
      <c r="A22" s="88" t="s">
        <v>131</v>
      </c>
      <c r="B22" s="88">
        <f t="shared" si="0"/>
        <v>0</v>
      </c>
      <c r="C22" s="57"/>
      <c r="D22" s="88"/>
      <c r="E22" s="88"/>
      <c r="F22" s="57"/>
      <c r="G22" s="88"/>
      <c r="H22" s="57"/>
      <c r="I22" s="88"/>
      <c r="J22" s="57"/>
      <c r="K22" s="88"/>
      <c r="L22" s="62"/>
      <c r="M22" s="62"/>
    </row>
    <row r="23" spans="1:13" ht="12.75">
      <c r="A23" s="88" t="s">
        <v>107</v>
      </c>
      <c r="B23" s="88">
        <f>SUM(C23:K23)</f>
        <v>0</v>
      </c>
      <c r="C23" s="57"/>
      <c r="D23" s="88"/>
      <c r="E23" s="88"/>
      <c r="F23" s="57"/>
      <c r="G23" s="88"/>
      <c r="H23" s="57"/>
      <c r="I23" s="88"/>
      <c r="J23" s="57"/>
      <c r="K23" s="88"/>
      <c r="L23" s="62"/>
      <c r="M23" s="62"/>
    </row>
    <row r="24" spans="1:13" ht="12.75">
      <c r="A24" s="88" t="s">
        <v>138</v>
      </c>
      <c r="B24" s="88"/>
      <c r="C24" s="57"/>
      <c r="D24" s="88"/>
      <c r="E24" s="88"/>
      <c r="F24" s="57"/>
      <c r="G24" s="88"/>
      <c r="H24" s="57"/>
      <c r="I24" s="88"/>
      <c r="J24" s="57"/>
      <c r="K24" s="88"/>
      <c r="L24" s="62"/>
      <c r="M24" s="62"/>
    </row>
    <row r="25" spans="1:13" ht="13.5" thickBot="1">
      <c r="A25" s="88" t="s">
        <v>108</v>
      </c>
      <c r="B25" s="90">
        <f t="shared" si="0"/>
        <v>0</v>
      </c>
      <c r="C25" s="91"/>
      <c r="D25" s="90"/>
      <c r="E25" s="90"/>
      <c r="F25" s="91"/>
      <c r="G25" s="90"/>
      <c r="H25" s="91"/>
      <c r="I25" s="90"/>
      <c r="J25" s="91"/>
      <c r="K25" s="90"/>
      <c r="L25" s="62"/>
      <c r="M25" s="62"/>
    </row>
    <row r="26" spans="1:13" ht="13.5" thickBot="1">
      <c r="A26" s="88" t="s">
        <v>109</v>
      </c>
      <c r="B26" s="92">
        <f>SUM(B16:B25)</f>
        <v>0</v>
      </c>
      <c r="C26" s="92">
        <f aca="true" t="shared" si="1" ref="C26:K26">SUM(C16:C25)</f>
        <v>0</v>
      </c>
      <c r="D26" s="92">
        <f t="shared" si="1"/>
        <v>0</v>
      </c>
      <c r="E26" s="92">
        <f t="shared" si="1"/>
        <v>0</v>
      </c>
      <c r="F26" s="92">
        <f t="shared" si="1"/>
        <v>0</v>
      </c>
      <c r="G26" s="92">
        <f t="shared" si="1"/>
        <v>0</v>
      </c>
      <c r="H26" s="92">
        <f t="shared" si="1"/>
        <v>0</v>
      </c>
      <c r="I26" s="92">
        <f t="shared" si="1"/>
        <v>0</v>
      </c>
      <c r="J26" s="92">
        <f t="shared" si="1"/>
        <v>0</v>
      </c>
      <c r="K26" s="92">
        <f t="shared" si="1"/>
        <v>0</v>
      </c>
      <c r="L26" s="62"/>
      <c r="M26" s="62"/>
    </row>
    <row r="27" spans="1:13" ht="12.75">
      <c r="A27" s="88"/>
      <c r="B27" s="88"/>
      <c r="C27" s="57"/>
      <c r="D27" s="88"/>
      <c r="E27" s="88"/>
      <c r="F27" s="57"/>
      <c r="G27" s="88"/>
      <c r="H27" s="57"/>
      <c r="I27" s="88"/>
      <c r="J27" s="57"/>
      <c r="K27" s="88"/>
      <c r="L27" s="62"/>
      <c r="M27" s="62"/>
    </row>
    <row r="28" spans="1:13" ht="12.75">
      <c r="A28" s="87" t="s">
        <v>113</v>
      </c>
      <c r="B28" s="88"/>
      <c r="C28" s="57"/>
      <c r="D28" s="88"/>
      <c r="E28" s="88"/>
      <c r="F28" s="57"/>
      <c r="G28" s="88"/>
      <c r="H28" s="57"/>
      <c r="I28" s="88"/>
      <c r="J28" s="57"/>
      <c r="K28" s="88"/>
      <c r="L28" s="62"/>
      <c r="M28" s="62"/>
    </row>
    <row r="29" spans="1:13" ht="12.75">
      <c r="A29" s="88"/>
      <c r="B29" s="88">
        <f t="shared" si="0"/>
        <v>0</v>
      </c>
      <c r="C29" s="57"/>
      <c r="D29" s="88"/>
      <c r="E29" s="88"/>
      <c r="F29" s="57"/>
      <c r="G29" s="88"/>
      <c r="H29" s="57"/>
      <c r="I29" s="88"/>
      <c r="J29" s="57"/>
      <c r="K29" s="88"/>
      <c r="L29" s="62"/>
      <c r="M29" s="62"/>
    </row>
    <row r="30" spans="1:13" ht="12.75">
      <c r="A30" s="88" t="s">
        <v>110</v>
      </c>
      <c r="B30" s="88">
        <f t="shared" si="0"/>
        <v>0</v>
      </c>
      <c r="C30" s="57"/>
      <c r="D30" s="88"/>
      <c r="E30" s="88"/>
      <c r="F30" s="57"/>
      <c r="G30" s="88"/>
      <c r="H30" s="57"/>
      <c r="I30" s="88"/>
      <c r="J30" s="57"/>
      <c r="K30" s="88"/>
      <c r="L30" s="62"/>
      <c r="M30" s="62"/>
    </row>
    <row r="31" spans="1:13" ht="13.5" thickBot="1">
      <c r="A31" s="88" t="s">
        <v>111</v>
      </c>
      <c r="B31" s="90">
        <f>SUM(C31:K31)</f>
        <v>0</v>
      </c>
      <c r="C31" s="91"/>
      <c r="D31" s="90"/>
      <c r="E31" s="90"/>
      <c r="F31" s="91"/>
      <c r="G31" s="90"/>
      <c r="H31" s="91"/>
      <c r="I31" s="90"/>
      <c r="J31" s="91"/>
      <c r="K31" s="90"/>
      <c r="L31" s="62"/>
      <c r="M31" s="62"/>
    </row>
    <row r="32" spans="1:13" ht="13.5" thickBot="1">
      <c r="A32" s="88" t="s">
        <v>114</v>
      </c>
      <c r="B32" s="92">
        <f>SUM(B29:B31)</f>
        <v>0</v>
      </c>
      <c r="C32" s="92">
        <f aca="true" t="shared" si="2" ref="C32:K32">SUM(C29:C31)</f>
        <v>0</v>
      </c>
      <c r="D32" s="92">
        <f t="shared" si="2"/>
        <v>0</v>
      </c>
      <c r="E32" s="92">
        <f t="shared" si="2"/>
        <v>0</v>
      </c>
      <c r="F32" s="92">
        <f t="shared" si="2"/>
        <v>0</v>
      </c>
      <c r="G32" s="92">
        <f t="shared" si="2"/>
        <v>0</v>
      </c>
      <c r="H32" s="92">
        <f t="shared" si="2"/>
        <v>0</v>
      </c>
      <c r="I32" s="92">
        <f t="shared" si="2"/>
        <v>0</v>
      </c>
      <c r="J32" s="92">
        <f t="shared" si="2"/>
        <v>0</v>
      </c>
      <c r="K32" s="92">
        <f t="shared" si="2"/>
        <v>0</v>
      </c>
      <c r="L32" s="62"/>
      <c r="M32" s="62"/>
    </row>
    <row r="33" spans="1:13" ht="13.5" thickBot="1">
      <c r="A33" s="90"/>
      <c r="B33" s="90"/>
      <c r="C33" s="91"/>
      <c r="D33" s="90"/>
      <c r="E33" s="90"/>
      <c r="F33" s="91"/>
      <c r="G33" s="90"/>
      <c r="H33" s="91"/>
      <c r="I33" s="90"/>
      <c r="J33" s="91"/>
      <c r="K33" s="90"/>
      <c r="L33" s="62"/>
      <c r="M33" s="62"/>
    </row>
    <row r="34" spans="1:13" ht="13.5" thickBot="1">
      <c r="A34" s="90" t="s">
        <v>79</v>
      </c>
      <c r="B34" s="91">
        <f>SUM(B32+B26)</f>
        <v>0</v>
      </c>
      <c r="C34" s="92">
        <f aca="true" t="shared" si="3" ref="C34:K34">SUM(C32+C26)</f>
        <v>0</v>
      </c>
      <c r="D34" s="91">
        <f t="shared" si="3"/>
        <v>0</v>
      </c>
      <c r="E34" s="92">
        <f t="shared" si="3"/>
        <v>0</v>
      </c>
      <c r="F34" s="91">
        <f t="shared" si="3"/>
        <v>0</v>
      </c>
      <c r="G34" s="92">
        <f t="shared" si="3"/>
        <v>0</v>
      </c>
      <c r="H34" s="91">
        <f t="shared" si="3"/>
        <v>0</v>
      </c>
      <c r="I34" s="92">
        <f t="shared" si="3"/>
        <v>0</v>
      </c>
      <c r="J34" s="91">
        <f t="shared" si="3"/>
        <v>0</v>
      </c>
      <c r="K34" s="92">
        <f t="shared" si="3"/>
        <v>0</v>
      </c>
      <c r="L34" s="62"/>
      <c r="M34" s="62"/>
    </row>
    <row r="35" spans="1:13" ht="12.75">
      <c r="A35" s="57"/>
      <c r="B35" s="57"/>
      <c r="C35" s="60"/>
      <c r="D35" s="57"/>
      <c r="E35" s="60"/>
      <c r="F35" s="60"/>
      <c r="G35" s="60"/>
      <c r="H35" s="60"/>
      <c r="I35" s="60"/>
      <c r="J35" s="60"/>
      <c r="K35" s="60"/>
      <c r="L35" s="62"/>
      <c r="M35" s="62"/>
    </row>
    <row r="36" spans="1:13" ht="12.75">
      <c r="A36" s="57"/>
      <c r="B36" s="57"/>
      <c r="C36" s="60"/>
      <c r="D36" s="57"/>
      <c r="E36" s="93" t="s">
        <v>182</v>
      </c>
      <c r="F36" s="60"/>
      <c r="G36" s="60"/>
      <c r="H36" s="60"/>
      <c r="I36" s="60"/>
      <c r="J36" s="60"/>
      <c r="K36" s="60"/>
      <c r="L36" s="62"/>
      <c r="M36" s="62"/>
    </row>
    <row r="37" spans="1:13" ht="13.5" thickBot="1">
      <c r="A37" s="57"/>
      <c r="B37" s="57"/>
      <c r="C37" s="94"/>
      <c r="D37" s="91"/>
      <c r="E37" s="94"/>
      <c r="F37" s="94"/>
      <c r="G37" s="94"/>
      <c r="H37" s="94"/>
      <c r="I37" s="94"/>
      <c r="J37" s="60"/>
      <c r="K37" s="60"/>
      <c r="L37" s="66"/>
      <c r="M37" s="62"/>
    </row>
    <row r="38" spans="1:13" ht="13.5" thickBot="1">
      <c r="A38" s="68"/>
      <c r="B38" s="68"/>
      <c r="C38" s="69" t="s">
        <v>88</v>
      </c>
      <c r="D38" s="78" t="s">
        <v>90</v>
      </c>
      <c r="E38" s="69" t="s">
        <v>92</v>
      </c>
      <c r="F38" s="79" t="s">
        <v>88</v>
      </c>
      <c r="G38" s="71" t="s">
        <v>95</v>
      </c>
      <c r="H38" s="80" t="s">
        <v>88</v>
      </c>
      <c r="I38" s="80" t="s">
        <v>98</v>
      </c>
      <c r="J38" s="72" t="s">
        <v>100</v>
      </c>
      <c r="K38" s="72" t="s">
        <v>102</v>
      </c>
      <c r="L38" s="89" t="s">
        <v>146</v>
      </c>
      <c r="M38" s="62"/>
    </row>
    <row r="39" spans="1:13" ht="13.5" thickBot="1">
      <c r="A39" s="86" t="s">
        <v>87</v>
      </c>
      <c r="B39" s="73" t="s">
        <v>7</v>
      </c>
      <c r="C39" s="74" t="s">
        <v>89</v>
      </c>
      <c r="D39" s="73" t="s">
        <v>91</v>
      </c>
      <c r="E39" s="74" t="s">
        <v>93</v>
      </c>
      <c r="F39" s="75" t="s">
        <v>94</v>
      </c>
      <c r="G39" s="76" t="s">
        <v>96</v>
      </c>
      <c r="H39" s="77" t="s">
        <v>97</v>
      </c>
      <c r="I39" s="77" t="s">
        <v>99</v>
      </c>
      <c r="J39" s="77" t="s">
        <v>101</v>
      </c>
      <c r="K39" s="77" t="s">
        <v>103</v>
      </c>
      <c r="L39" s="90" t="s">
        <v>147</v>
      </c>
      <c r="M39" s="62"/>
    </row>
    <row r="40" spans="1:13" ht="12.75">
      <c r="A40" s="87" t="s">
        <v>112</v>
      </c>
      <c r="B40" s="88"/>
      <c r="C40" s="57"/>
      <c r="D40" s="89"/>
      <c r="E40" s="89"/>
      <c r="F40" s="57"/>
      <c r="G40" s="89"/>
      <c r="H40" s="57"/>
      <c r="I40" s="89"/>
      <c r="J40" s="57"/>
      <c r="K40" s="89"/>
      <c r="L40" s="88"/>
      <c r="M40" s="62"/>
    </row>
    <row r="41" spans="1:13" ht="12.75">
      <c r="A41" s="88"/>
      <c r="B41" s="88"/>
      <c r="C41" s="57"/>
      <c r="D41" s="88"/>
      <c r="E41" s="88"/>
      <c r="F41" s="57"/>
      <c r="G41" s="88"/>
      <c r="H41" s="57"/>
      <c r="I41" s="88"/>
      <c r="J41" s="57"/>
      <c r="K41" s="88"/>
      <c r="L41" s="88"/>
      <c r="M41" s="62"/>
    </row>
    <row r="42" spans="1:12" ht="12.75">
      <c r="A42" s="88" t="s">
        <v>105</v>
      </c>
      <c r="B42" s="88">
        <f>SUM(C42:L42)</f>
        <v>70848.35</v>
      </c>
      <c r="C42" s="57">
        <v>1048.81</v>
      </c>
      <c r="D42" s="88">
        <f>5552.5</f>
        <v>5552.5</v>
      </c>
      <c r="E42" s="88">
        <v>9540</v>
      </c>
      <c r="F42" s="57">
        <v>27156</v>
      </c>
      <c r="G42" s="88">
        <v>12210.04</v>
      </c>
      <c r="H42" s="57"/>
      <c r="I42" s="88">
        <v>9036</v>
      </c>
      <c r="J42" s="57"/>
      <c r="K42" s="88">
        <v>6305</v>
      </c>
      <c r="L42" s="88"/>
    </row>
    <row r="43" spans="1:12" ht="12.75">
      <c r="A43" s="88" t="s">
        <v>134</v>
      </c>
      <c r="B43" s="88">
        <f aca="true" t="shared" si="4" ref="B43:B61">SUM(C43:L43)</f>
        <v>0</v>
      </c>
      <c r="C43" s="57"/>
      <c r="D43" s="88"/>
      <c r="E43" s="88"/>
      <c r="F43" s="57"/>
      <c r="G43" s="88"/>
      <c r="H43" s="57"/>
      <c r="I43" s="88"/>
      <c r="J43" s="57"/>
      <c r="K43" s="88"/>
      <c r="L43" s="88"/>
    </row>
    <row r="44" spans="1:12" ht="12.75">
      <c r="A44" s="88" t="s">
        <v>125</v>
      </c>
      <c r="B44" s="88">
        <f t="shared" si="4"/>
        <v>7000</v>
      </c>
      <c r="C44" s="57"/>
      <c r="D44" s="88">
        <v>7000</v>
      </c>
      <c r="E44" s="88"/>
      <c r="F44" s="57"/>
      <c r="G44" s="88"/>
      <c r="H44" s="57"/>
      <c r="I44" s="88"/>
      <c r="J44" s="57"/>
      <c r="K44" s="88"/>
      <c r="L44" s="88"/>
    </row>
    <row r="45" spans="1:12" ht="12.75">
      <c r="A45" s="88" t="s">
        <v>133</v>
      </c>
      <c r="B45" s="88">
        <f t="shared" si="4"/>
        <v>0</v>
      </c>
      <c r="C45" s="57"/>
      <c r="D45" s="88"/>
      <c r="E45" s="88"/>
      <c r="F45" s="57"/>
      <c r="G45" s="88"/>
      <c r="H45" s="57"/>
      <c r="I45" s="88"/>
      <c r="J45" s="57"/>
      <c r="K45" s="88"/>
      <c r="L45" s="88"/>
    </row>
    <row r="46" spans="1:12" ht="12.75">
      <c r="A46" s="88" t="s">
        <v>132</v>
      </c>
      <c r="B46" s="88">
        <f t="shared" si="4"/>
        <v>8784.380000000001</v>
      </c>
      <c r="C46" s="57"/>
      <c r="D46" s="88"/>
      <c r="E46" s="88"/>
      <c r="F46" s="57">
        <v>8050.34</v>
      </c>
      <c r="G46" s="88"/>
      <c r="H46" s="57"/>
      <c r="I46" s="88">
        <v>734.04</v>
      </c>
      <c r="J46" s="57"/>
      <c r="K46" s="88"/>
      <c r="L46" s="88"/>
    </row>
    <row r="47" spans="1:12" ht="12.75">
      <c r="A47" s="88" t="s">
        <v>124</v>
      </c>
      <c r="B47" s="88">
        <f t="shared" si="4"/>
        <v>1234.7</v>
      </c>
      <c r="C47" s="57"/>
      <c r="D47" s="88"/>
      <c r="E47" s="88"/>
      <c r="F47" s="57">
        <v>1234.7</v>
      </c>
      <c r="G47" s="88"/>
      <c r="H47" s="57"/>
      <c r="I47" s="88"/>
      <c r="J47" s="57"/>
      <c r="K47" s="88"/>
      <c r="L47" s="88"/>
    </row>
    <row r="48" spans="1:13" ht="12.75">
      <c r="A48" s="88" t="s">
        <v>106</v>
      </c>
      <c r="B48" s="88">
        <f t="shared" si="4"/>
        <v>28700</v>
      </c>
      <c r="C48" s="57"/>
      <c r="D48" s="88">
        <v>2900</v>
      </c>
      <c r="E48" s="88">
        <v>1000</v>
      </c>
      <c r="F48" s="57">
        <v>3500</v>
      </c>
      <c r="G48" s="88">
        <v>6000</v>
      </c>
      <c r="H48" s="57"/>
      <c r="I48" s="88">
        <v>15300</v>
      </c>
      <c r="J48" s="57"/>
      <c r="K48" s="88"/>
      <c r="L48" s="88"/>
      <c r="M48" s="131"/>
    </row>
    <row r="49" spans="1:12" ht="12.75">
      <c r="A49" s="88" t="s">
        <v>131</v>
      </c>
      <c r="B49" s="88">
        <f t="shared" si="4"/>
        <v>141264.75</v>
      </c>
      <c r="C49" s="57"/>
      <c r="D49" s="88">
        <f>117964.75+1400</f>
        <v>119364.75</v>
      </c>
      <c r="E49" s="88">
        <v>21900</v>
      </c>
      <c r="F49" s="57"/>
      <c r="G49" s="88"/>
      <c r="H49" s="57"/>
      <c r="I49" s="88"/>
      <c r="J49" s="57"/>
      <c r="K49" s="88"/>
      <c r="L49" s="88"/>
    </row>
    <row r="50" spans="1:12" ht="12.75">
      <c r="A50" s="88" t="s">
        <v>107</v>
      </c>
      <c r="B50" s="88">
        <f t="shared" si="4"/>
        <v>0</v>
      </c>
      <c r="C50" s="57"/>
      <c r="D50" s="88"/>
      <c r="E50" s="88"/>
      <c r="F50" s="57"/>
      <c r="G50" s="88"/>
      <c r="H50" s="57"/>
      <c r="I50" s="88"/>
      <c r="J50" s="57"/>
      <c r="K50" s="88"/>
      <c r="L50" s="88"/>
    </row>
    <row r="51" spans="1:12" ht="12.75">
      <c r="A51" s="88" t="s">
        <v>138</v>
      </c>
      <c r="B51" s="88">
        <f t="shared" si="4"/>
        <v>0</v>
      </c>
      <c r="C51" s="57"/>
      <c r="D51" s="88"/>
      <c r="E51" s="88"/>
      <c r="F51" s="57"/>
      <c r="G51" s="88"/>
      <c r="H51" s="57"/>
      <c r="I51" s="88"/>
      <c r="J51" s="57"/>
      <c r="K51" s="88"/>
      <c r="L51" s="88"/>
    </row>
    <row r="52" spans="1:12" ht="13.5" thickBot="1">
      <c r="A52" s="88" t="s">
        <v>108</v>
      </c>
      <c r="B52" s="90">
        <f t="shared" si="4"/>
        <v>59973.3</v>
      </c>
      <c r="C52" s="91">
        <v>11000</v>
      </c>
      <c r="D52" s="90">
        <v>21000</v>
      </c>
      <c r="E52" s="90"/>
      <c r="F52" s="91">
        <v>8516.3</v>
      </c>
      <c r="G52" s="90"/>
      <c r="H52" s="91"/>
      <c r="I52" s="90">
        <f>8457+11000</f>
        <v>19457</v>
      </c>
      <c r="J52" s="91"/>
      <c r="K52" s="90"/>
      <c r="L52" s="90"/>
    </row>
    <row r="53" spans="1:12" ht="13.5" thickBot="1">
      <c r="A53" s="88" t="s">
        <v>109</v>
      </c>
      <c r="B53" s="92">
        <f t="shared" si="4"/>
        <v>317805.48</v>
      </c>
      <c r="C53" s="92">
        <f aca="true" t="shared" si="5" ref="C53:K53">SUM(C42:C52)</f>
        <v>12048.81</v>
      </c>
      <c r="D53" s="92">
        <f t="shared" si="5"/>
        <v>155817.25</v>
      </c>
      <c r="E53" s="92">
        <f t="shared" si="5"/>
        <v>32440</v>
      </c>
      <c r="F53" s="92">
        <f t="shared" si="5"/>
        <v>48457.34</v>
      </c>
      <c r="G53" s="92">
        <f t="shared" si="5"/>
        <v>18210.04</v>
      </c>
      <c r="H53" s="92">
        <f t="shared" si="5"/>
        <v>0</v>
      </c>
      <c r="I53" s="92">
        <f t="shared" si="5"/>
        <v>44527.04</v>
      </c>
      <c r="J53" s="92">
        <f t="shared" si="5"/>
        <v>0</v>
      </c>
      <c r="K53" s="92">
        <f t="shared" si="5"/>
        <v>6305</v>
      </c>
      <c r="L53" s="132">
        <f>SUM(L42:L52)</f>
        <v>0</v>
      </c>
    </row>
    <row r="54" spans="1:13" ht="12.75">
      <c r="A54" s="88"/>
      <c r="B54" s="88">
        <f t="shared" si="4"/>
        <v>0</v>
      </c>
      <c r="C54" s="57"/>
      <c r="D54" s="88"/>
      <c r="E54" s="88"/>
      <c r="F54" s="57"/>
      <c r="G54" s="88"/>
      <c r="H54" s="57"/>
      <c r="I54" s="88"/>
      <c r="J54" s="57"/>
      <c r="K54" s="88"/>
      <c r="L54" s="129"/>
      <c r="M54" s="131"/>
    </row>
    <row r="55" spans="1:12" ht="12.75">
      <c r="A55" s="87" t="s">
        <v>113</v>
      </c>
      <c r="B55" s="88">
        <f t="shared" si="4"/>
        <v>0</v>
      </c>
      <c r="C55" s="57"/>
      <c r="D55" s="88"/>
      <c r="E55" s="88"/>
      <c r="F55" s="57"/>
      <c r="G55" s="88"/>
      <c r="H55" s="57"/>
      <c r="I55" s="88"/>
      <c r="J55" s="57"/>
      <c r="K55" s="88"/>
      <c r="L55" s="129"/>
    </row>
    <row r="56" spans="1:12" ht="12.75">
      <c r="A56" s="88"/>
      <c r="B56" s="88"/>
      <c r="C56" s="57"/>
      <c r="D56" s="88"/>
      <c r="E56" s="88"/>
      <c r="F56" s="57"/>
      <c r="G56" s="88"/>
      <c r="H56" s="57"/>
      <c r="I56" s="88"/>
      <c r="J56" s="57"/>
      <c r="K56" s="88"/>
      <c r="L56" s="129"/>
    </row>
    <row r="57" spans="1:12" ht="12.75">
      <c r="A57" s="88" t="s">
        <v>110</v>
      </c>
      <c r="B57" s="88">
        <f t="shared" si="4"/>
        <v>0</v>
      </c>
      <c r="C57" s="57"/>
      <c r="D57" s="88"/>
      <c r="E57" s="88"/>
      <c r="F57" s="57"/>
      <c r="G57" s="88"/>
      <c r="H57" s="57"/>
      <c r="I57" s="88"/>
      <c r="J57" s="57"/>
      <c r="K57" s="88"/>
      <c r="L57" s="129"/>
    </row>
    <row r="58" spans="1:12" ht="13.5" thickBot="1">
      <c r="A58" s="88" t="s">
        <v>111</v>
      </c>
      <c r="B58" s="90">
        <f t="shared" si="4"/>
        <v>0</v>
      </c>
      <c r="C58" s="91"/>
      <c r="D58" s="90"/>
      <c r="E58" s="90"/>
      <c r="F58" s="91"/>
      <c r="G58" s="90"/>
      <c r="H58" s="91"/>
      <c r="I58" s="90"/>
      <c r="J58" s="91"/>
      <c r="K58" s="90"/>
      <c r="L58" s="130"/>
    </row>
    <row r="59" spans="1:12" ht="13.5" thickBot="1">
      <c r="A59" s="88" t="s">
        <v>114</v>
      </c>
      <c r="B59" s="92">
        <f t="shared" si="4"/>
        <v>0</v>
      </c>
      <c r="C59" s="92">
        <f aca="true" t="shared" si="6" ref="C59:L59">SUM(C56:C58)</f>
        <v>0</v>
      </c>
      <c r="D59" s="92">
        <f t="shared" si="6"/>
        <v>0</v>
      </c>
      <c r="E59" s="92">
        <f t="shared" si="6"/>
        <v>0</v>
      </c>
      <c r="F59" s="92">
        <f t="shared" si="6"/>
        <v>0</v>
      </c>
      <c r="G59" s="92">
        <f t="shared" si="6"/>
        <v>0</v>
      </c>
      <c r="H59" s="92">
        <f t="shared" si="6"/>
        <v>0</v>
      </c>
      <c r="I59" s="92">
        <f t="shared" si="6"/>
        <v>0</v>
      </c>
      <c r="J59" s="92">
        <f t="shared" si="6"/>
        <v>0</v>
      </c>
      <c r="K59" s="92">
        <f t="shared" si="6"/>
        <v>0</v>
      </c>
      <c r="L59" s="92">
        <f t="shared" si="6"/>
        <v>0</v>
      </c>
    </row>
    <row r="60" spans="1:12" ht="13.5" thickBot="1">
      <c r="A60" s="90"/>
      <c r="B60" s="92">
        <f t="shared" si="4"/>
        <v>0</v>
      </c>
      <c r="C60" s="91"/>
      <c r="D60" s="90"/>
      <c r="E60" s="90"/>
      <c r="F60" s="91"/>
      <c r="G60" s="90"/>
      <c r="H60" s="91"/>
      <c r="I60" s="90"/>
      <c r="J60" s="91"/>
      <c r="K60" s="90"/>
      <c r="L60" s="129"/>
    </row>
    <row r="61" spans="1:12" ht="13.5" thickBot="1">
      <c r="A61" s="90" t="s">
        <v>79</v>
      </c>
      <c r="B61" s="92">
        <f t="shared" si="4"/>
        <v>317805.48</v>
      </c>
      <c r="C61" s="92">
        <f aca="true" t="shared" si="7" ref="C61:L61">SUM(C59+C53)</f>
        <v>12048.81</v>
      </c>
      <c r="D61" s="91">
        <f t="shared" si="7"/>
        <v>155817.25</v>
      </c>
      <c r="E61" s="92">
        <f t="shared" si="7"/>
        <v>32440</v>
      </c>
      <c r="F61" s="91">
        <f t="shared" si="7"/>
        <v>48457.34</v>
      </c>
      <c r="G61" s="92">
        <f t="shared" si="7"/>
        <v>18210.04</v>
      </c>
      <c r="H61" s="91">
        <f t="shared" si="7"/>
        <v>0</v>
      </c>
      <c r="I61" s="92">
        <f t="shared" si="7"/>
        <v>44527.04</v>
      </c>
      <c r="J61" s="91">
        <f t="shared" si="7"/>
        <v>0</v>
      </c>
      <c r="K61" s="92">
        <f t="shared" si="7"/>
        <v>6305</v>
      </c>
      <c r="L61" s="92">
        <f t="shared" si="7"/>
        <v>0</v>
      </c>
    </row>
    <row r="62" spans="1:11" ht="12.75">
      <c r="A62" s="57"/>
      <c r="B62" s="57"/>
      <c r="C62" s="60"/>
      <c r="D62" s="57"/>
      <c r="E62" s="60"/>
      <c r="F62" s="60"/>
      <c r="G62" s="60"/>
      <c r="H62" s="60"/>
      <c r="I62" s="60"/>
      <c r="J62" s="60"/>
      <c r="K62" s="60"/>
    </row>
    <row r="63" spans="1:13" ht="12.75">
      <c r="A63" s="57"/>
      <c r="B63" s="57"/>
      <c r="C63" s="60"/>
      <c r="D63" s="57"/>
      <c r="E63" s="93" t="s">
        <v>155</v>
      </c>
      <c r="F63" s="60"/>
      <c r="G63" s="60"/>
      <c r="H63" s="60"/>
      <c r="I63" s="60"/>
      <c r="J63" s="60"/>
      <c r="K63" s="60"/>
      <c r="M63" s="131"/>
    </row>
    <row r="64" spans="1:11" ht="13.5" thickBot="1">
      <c r="A64" s="57"/>
      <c r="B64" s="57"/>
      <c r="C64" s="94"/>
      <c r="D64" s="91"/>
      <c r="E64" s="94"/>
      <c r="F64" s="94"/>
      <c r="G64" s="94"/>
      <c r="H64" s="94"/>
      <c r="I64" s="60"/>
      <c r="J64" s="60"/>
      <c r="K64" s="60"/>
    </row>
    <row r="65" spans="1:11" ht="13.5" thickBot="1">
      <c r="A65" s="68"/>
      <c r="B65" s="68"/>
      <c r="C65" s="69" t="s">
        <v>88</v>
      </c>
      <c r="D65" s="78" t="s">
        <v>90</v>
      </c>
      <c r="E65" s="69" t="s">
        <v>92</v>
      </c>
      <c r="F65" s="79" t="s">
        <v>88</v>
      </c>
      <c r="G65" s="71" t="s">
        <v>95</v>
      </c>
      <c r="H65" s="80" t="s">
        <v>88</v>
      </c>
      <c r="I65" s="72" t="s">
        <v>98</v>
      </c>
      <c r="J65" s="72" t="s">
        <v>100</v>
      </c>
      <c r="K65" s="72" t="s">
        <v>102</v>
      </c>
    </row>
    <row r="66" spans="1:11" ht="13.5" thickBot="1">
      <c r="A66" s="86" t="s">
        <v>87</v>
      </c>
      <c r="B66" s="73" t="s">
        <v>7</v>
      </c>
      <c r="C66" s="74" t="s">
        <v>89</v>
      </c>
      <c r="D66" s="73" t="s">
        <v>91</v>
      </c>
      <c r="E66" s="74" t="s">
        <v>93</v>
      </c>
      <c r="F66" s="75" t="s">
        <v>94</v>
      </c>
      <c r="G66" s="76" t="s">
        <v>96</v>
      </c>
      <c r="H66" s="77" t="s">
        <v>145</v>
      </c>
      <c r="I66" s="77" t="s">
        <v>99</v>
      </c>
      <c r="J66" s="77" t="s">
        <v>101</v>
      </c>
      <c r="K66" s="77" t="s">
        <v>103</v>
      </c>
    </row>
    <row r="67" spans="1:11" ht="12.75">
      <c r="A67" s="87" t="s">
        <v>112</v>
      </c>
      <c r="B67" s="88"/>
      <c r="C67" s="57"/>
      <c r="D67" s="89"/>
      <c r="E67" s="89"/>
      <c r="F67" s="57"/>
      <c r="G67" s="89"/>
      <c r="H67" s="57"/>
      <c r="I67" s="89"/>
      <c r="J67" s="57"/>
      <c r="K67" s="89"/>
    </row>
    <row r="68" spans="1:11" ht="12.75">
      <c r="A68" s="88"/>
      <c r="B68" s="88"/>
      <c r="C68" s="57"/>
      <c r="D68" s="88"/>
      <c r="E68" s="88"/>
      <c r="F68" s="57"/>
      <c r="G68" s="88"/>
      <c r="H68" s="57"/>
      <c r="I68" s="88"/>
      <c r="J68" s="57"/>
      <c r="K68" s="88"/>
    </row>
    <row r="69" spans="1:11" ht="12.75">
      <c r="A69" s="88" t="s">
        <v>105</v>
      </c>
      <c r="B69" s="88">
        <f aca="true" t="shared" si="8" ref="B69:B79">SUM(C69:K69)</f>
        <v>-70848.35</v>
      </c>
      <c r="C69" s="57">
        <f aca="true" t="shared" si="9" ref="C69:K69">SUM(C16-C42)</f>
        <v>-1048.81</v>
      </c>
      <c r="D69" s="88">
        <f t="shared" si="9"/>
        <v>-5552.5</v>
      </c>
      <c r="E69" s="88">
        <f t="shared" si="9"/>
        <v>-9540</v>
      </c>
      <c r="F69" s="57">
        <f t="shared" si="9"/>
        <v>-27156</v>
      </c>
      <c r="G69" s="88">
        <f t="shared" si="9"/>
        <v>-12210.04</v>
      </c>
      <c r="H69" s="57">
        <f t="shared" si="9"/>
        <v>0</v>
      </c>
      <c r="I69" s="88">
        <f t="shared" si="9"/>
        <v>-9036</v>
      </c>
      <c r="J69" s="57">
        <f t="shared" si="9"/>
        <v>0</v>
      </c>
      <c r="K69" s="88">
        <f t="shared" si="9"/>
        <v>-6305</v>
      </c>
    </row>
    <row r="70" spans="1:11" ht="12.75">
      <c r="A70" s="88" t="s">
        <v>134</v>
      </c>
      <c r="B70" s="88">
        <f t="shared" si="8"/>
        <v>0</v>
      </c>
      <c r="C70" s="57">
        <f aca="true" t="shared" si="10" ref="C70:K70">SUM(C17-C43)</f>
        <v>0</v>
      </c>
      <c r="D70" s="57">
        <f t="shared" si="10"/>
        <v>0</v>
      </c>
      <c r="E70" s="57">
        <f t="shared" si="10"/>
        <v>0</v>
      </c>
      <c r="F70" s="57">
        <f t="shared" si="10"/>
        <v>0</v>
      </c>
      <c r="G70" s="57">
        <f t="shared" si="10"/>
        <v>0</v>
      </c>
      <c r="H70" s="57">
        <f t="shared" si="10"/>
        <v>0</v>
      </c>
      <c r="I70" s="57">
        <f t="shared" si="10"/>
        <v>0</v>
      </c>
      <c r="J70" s="57">
        <f t="shared" si="10"/>
        <v>0</v>
      </c>
      <c r="K70" s="88">
        <f t="shared" si="10"/>
        <v>0</v>
      </c>
    </row>
    <row r="71" spans="1:11" ht="12.75">
      <c r="A71" s="88" t="s">
        <v>128</v>
      </c>
      <c r="B71" s="88">
        <f t="shared" si="8"/>
        <v>-7000</v>
      </c>
      <c r="C71" s="57">
        <f aca="true" t="shared" si="11" ref="C71:K71">SUM(C17-C44)</f>
        <v>0</v>
      </c>
      <c r="D71" s="88">
        <f t="shared" si="11"/>
        <v>-7000</v>
      </c>
      <c r="E71" s="88">
        <f t="shared" si="11"/>
        <v>0</v>
      </c>
      <c r="F71" s="57">
        <f t="shared" si="11"/>
        <v>0</v>
      </c>
      <c r="G71" s="88">
        <f t="shared" si="11"/>
        <v>0</v>
      </c>
      <c r="H71" s="57">
        <f t="shared" si="11"/>
        <v>0</v>
      </c>
      <c r="I71" s="88">
        <f t="shared" si="11"/>
        <v>0</v>
      </c>
      <c r="J71" s="57">
        <f t="shared" si="11"/>
        <v>0</v>
      </c>
      <c r="K71" s="88">
        <f t="shared" si="11"/>
        <v>0</v>
      </c>
    </row>
    <row r="72" spans="1:11" ht="12.75">
      <c r="A72" s="88" t="s">
        <v>129</v>
      </c>
      <c r="B72" s="88">
        <f t="shared" si="8"/>
        <v>0</v>
      </c>
      <c r="C72" s="57">
        <f aca="true" t="shared" si="12" ref="C72:K72">SUM(C18-C45)</f>
        <v>0</v>
      </c>
      <c r="D72" s="88">
        <f t="shared" si="12"/>
        <v>0</v>
      </c>
      <c r="E72" s="88">
        <f t="shared" si="12"/>
        <v>0</v>
      </c>
      <c r="F72" s="57">
        <f t="shared" si="12"/>
        <v>0</v>
      </c>
      <c r="G72" s="88">
        <f t="shared" si="12"/>
        <v>0</v>
      </c>
      <c r="H72" s="57">
        <f t="shared" si="12"/>
        <v>0</v>
      </c>
      <c r="I72" s="88">
        <f t="shared" si="12"/>
        <v>0</v>
      </c>
      <c r="J72" s="57">
        <f t="shared" si="12"/>
        <v>0</v>
      </c>
      <c r="K72" s="88">
        <f t="shared" si="12"/>
        <v>0</v>
      </c>
    </row>
    <row r="73" spans="1:11" ht="12.75">
      <c r="A73" s="88" t="s">
        <v>132</v>
      </c>
      <c r="B73" s="88">
        <f>SUM(C73:K73)</f>
        <v>-8784.380000000001</v>
      </c>
      <c r="C73" s="57">
        <f aca="true" t="shared" si="13" ref="C73:K73">SUM(C19-C46)</f>
        <v>0</v>
      </c>
      <c r="D73" s="88">
        <f t="shared" si="13"/>
        <v>0</v>
      </c>
      <c r="E73" s="88">
        <f t="shared" si="13"/>
        <v>0</v>
      </c>
      <c r="F73" s="57">
        <f t="shared" si="13"/>
        <v>-8050.34</v>
      </c>
      <c r="G73" s="88">
        <f t="shared" si="13"/>
        <v>0</v>
      </c>
      <c r="H73" s="57">
        <f t="shared" si="13"/>
        <v>0</v>
      </c>
      <c r="I73" s="88">
        <f t="shared" si="13"/>
        <v>-734.04</v>
      </c>
      <c r="J73" s="57">
        <f t="shared" si="13"/>
        <v>0</v>
      </c>
      <c r="K73" s="88">
        <f t="shared" si="13"/>
        <v>0</v>
      </c>
    </row>
    <row r="74" spans="1:11" ht="12.75">
      <c r="A74" s="88" t="s">
        <v>130</v>
      </c>
      <c r="B74" s="88">
        <f t="shared" si="8"/>
        <v>-1234.7</v>
      </c>
      <c r="C74" s="57">
        <f aca="true" t="shared" si="14" ref="C74:K74">SUM(C20-C47)</f>
        <v>0</v>
      </c>
      <c r="D74" s="88">
        <f t="shared" si="14"/>
        <v>0</v>
      </c>
      <c r="E74" s="88">
        <f t="shared" si="14"/>
        <v>0</v>
      </c>
      <c r="F74" s="57">
        <f t="shared" si="14"/>
        <v>-1234.7</v>
      </c>
      <c r="G74" s="88">
        <f t="shared" si="14"/>
        <v>0</v>
      </c>
      <c r="H74" s="57">
        <f t="shared" si="14"/>
        <v>0</v>
      </c>
      <c r="I74" s="88">
        <f t="shared" si="14"/>
        <v>0</v>
      </c>
      <c r="J74" s="57">
        <f t="shared" si="14"/>
        <v>0</v>
      </c>
      <c r="K74" s="88">
        <f t="shared" si="14"/>
        <v>0</v>
      </c>
    </row>
    <row r="75" spans="1:11" ht="12.75">
      <c r="A75" s="88" t="s">
        <v>106</v>
      </c>
      <c r="B75" s="88">
        <f t="shared" si="8"/>
        <v>-28700</v>
      </c>
      <c r="C75" s="57">
        <f aca="true" t="shared" si="15" ref="C75:K75">SUM(C21-C48)</f>
        <v>0</v>
      </c>
      <c r="D75" s="88">
        <f t="shared" si="15"/>
        <v>-2900</v>
      </c>
      <c r="E75" s="88">
        <f t="shared" si="15"/>
        <v>-1000</v>
      </c>
      <c r="F75" s="57">
        <f t="shared" si="15"/>
        <v>-3500</v>
      </c>
      <c r="G75" s="88">
        <f t="shared" si="15"/>
        <v>-6000</v>
      </c>
      <c r="H75" s="57">
        <f t="shared" si="15"/>
        <v>0</v>
      </c>
      <c r="I75" s="88">
        <f t="shared" si="15"/>
        <v>-15300</v>
      </c>
      <c r="J75" s="57">
        <f t="shared" si="15"/>
        <v>0</v>
      </c>
      <c r="K75" s="88">
        <f t="shared" si="15"/>
        <v>0</v>
      </c>
    </row>
    <row r="76" spans="1:11" ht="12.75">
      <c r="A76" s="88" t="s">
        <v>131</v>
      </c>
      <c r="B76" s="88">
        <f t="shared" si="8"/>
        <v>-141264.75</v>
      </c>
      <c r="C76" s="57">
        <f aca="true" t="shared" si="16" ref="C76:K76">SUM(C22-C49)</f>
        <v>0</v>
      </c>
      <c r="D76" s="88">
        <f t="shared" si="16"/>
        <v>-119364.75</v>
      </c>
      <c r="E76" s="88">
        <f t="shared" si="16"/>
        <v>-21900</v>
      </c>
      <c r="F76" s="57">
        <f t="shared" si="16"/>
        <v>0</v>
      </c>
      <c r="G76" s="88">
        <f t="shared" si="16"/>
        <v>0</v>
      </c>
      <c r="H76" s="57">
        <f>SUM(H22-H49)</f>
        <v>0</v>
      </c>
      <c r="I76" s="88">
        <f t="shared" si="16"/>
        <v>0</v>
      </c>
      <c r="J76" s="57">
        <f t="shared" si="16"/>
        <v>0</v>
      </c>
      <c r="K76" s="88">
        <f t="shared" si="16"/>
        <v>0</v>
      </c>
    </row>
    <row r="77" spans="1:11" ht="12.75">
      <c r="A77" s="88" t="s">
        <v>107</v>
      </c>
      <c r="B77" s="88">
        <f t="shared" si="8"/>
        <v>0</v>
      </c>
      <c r="C77" s="57">
        <f>SUM(C23-C50)</f>
        <v>0</v>
      </c>
      <c r="D77" s="88">
        <f>SUM(D23-D50)</f>
        <v>0</v>
      </c>
      <c r="E77" s="88">
        <f>SUM(E23-E50)</f>
        <v>0</v>
      </c>
      <c r="F77" s="57">
        <f>SUM(F23-F50)</f>
        <v>0</v>
      </c>
      <c r="G77" s="88">
        <f>SUM(G23-G50)</f>
        <v>0</v>
      </c>
      <c r="H77" s="57">
        <f>SUM(H23-H50)</f>
        <v>0</v>
      </c>
      <c r="I77" s="88">
        <f aca="true" t="shared" si="17" ref="I77:K78">SUM(I23-I50)</f>
        <v>0</v>
      </c>
      <c r="J77" s="57">
        <f t="shared" si="17"/>
        <v>0</v>
      </c>
      <c r="K77" s="88">
        <f t="shared" si="17"/>
        <v>0</v>
      </c>
    </row>
    <row r="78" spans="1:11" ht="12.75">
      <c r="A78" s="88" t="s">
        <v>139</v>
      </c>
      <c r="B78" s="88">
        <f aca="true" t="shared" si="18" ref="B78:H78">SUM(B24-B51)</f>
        <v>0</v>
      </c>
      <c r="C78" s="88">
        <f t="shared" si="18"/>
        <v>0</v>
      </c>
      <c r="D78" s="88">
        <f t="shared" si="18"/>
        <v>0</v>
      </c>
      <c r="E78" s="88">
        <f t="shared" si="18"/>
        <v>0</v>
      </c>
      <c r="F78" s="88">
        <f t="shared" si="18"/>
        <v>0</v>
      </c>
      <c r="G78" s="88">
        <f t="shared" si="18"/>
        <v>0</v>
      </c>
      <c r="H78" s="88">
        <f t="shared" si="18"/>
        <v>0</v>
      </c>
      <c r="I78" s="88">
        <f t="shared" si="17"/>
        <v>0</v>
      </c>
      <c r="J78" s="57">
        <f t="shared" si="17"/>
        <v>0</v>
      </c>
      <c r="K78" s="88">
        <f t="shared" si="17"/>
        <v>0</v>
      </c>
    </row>
    <row r="79" spans="1:11" ht="13.5" thickBot="1">
      <c r="A79" s="88" t="s">
        <v>108</v>
      </c>
      <c r="B79" s="90">
        <f t="shared" si="8"/>
        <v>-59973.3</v>
      </c>
      <c r="C79" s="57">
        <f aca="true" t="shared" si="19" ref="C79:K79">SUM(C25-C52)</f>
        <v>-11000</v>
      </c>
      <c r="D79" s="88">
        <f t="shared" si="19"/>
        <v>-21000</v>
      </c>
      <c r="E79" s="88">
        <f t="shared" si="19"/>
        <v>0</v>
      </c>
      <c r="F79" s="57">
        <f t="shared" si="19"/>
        <v>-8516.3</v>
      </c>
      <c r="G79" s="88">
        <f t="shared" si="19"/>
        <v>0</v>
      </c>
      <c r="H79" s="57">
        <f t="shared" si="19"/>
        <v>0</v>
      </c>
      <c r="I79" s="88">
        <f t="shared" si="19"/>
        <v>-19457</v>
      </c>
      <c r="J79" s="57">
        <f t="shared" si="19"/>
        <v>0</v>
      </c>
      <c r="K79" s="88">
        <f t="shared" si="19"/>
        <v>0</v>
      </c>
    </row>
    <row r="80" spans="1:11" ht="13.5" thickBot="1">
      <c r="A80" s="88" t="s">
        <v>109</v>
      </c>
      <c r="B80" s="92">
        <f aca="true" t="shared" si="20" ref="B80:K80">SUM(B69:B79)</f>
        <v>-317805.48</v>
      </c>
      <c r="C80" s="92">
        <f t="shared" si="20"/>
        <v>-12048.81</v>
      </c>
      <c r="D80" s="92">
        <f t="shared" si="20"/>
        <v>-155817.25</v>
      </c>
      <c r="E80" s="92">
        <f t="shared" si="20"/>
        <v>-32440</v>
      </c>
      <c r="F80" s="92">
        <f t="shared" si="20"/>
        <v>-48457.34</v>
      </c>
      <c r="G80" s="92">
        <f t="shared" si="20"/>
        <v>-18210.04</v>
      </c>
      <c r="H80" s="92">
        <f t="shared" si="20"/>
        <v>0</v>
      </c>
      <c r="I80" s="92">
        <f t="shared" si="20"/>
        <v>-44527.04</v>
      </c>
      <c r="J80" s="92">
        <f t="shared" si="20"/>
        <v>0</v>
      </c>
      <c r="K80" s="92">
        <f t="shared" si="20"/>
        <v>-6305</v>
      </c>
    </row>
    <row r="81" spans="1:11" ht="12.75">
      <c r="A81" s="88"/>
      <c r="B81" s="88"/>
      <c r="C81" s="57"/>
      <c r="D81" s="88"/>
      <c r="E81" s="88"/>
      <c r="F81" s="57"/>
      <c r="G81" s="88"/>
      <c r="H81" s="57"/>
      <c r="I81" s="88"/>
      <c r="J81" s="57"/>
      <c r="K81" s="88"/>
    </row>
    <row r="82" spans="1:11" ht="12.75">
      <c r="A82" s="87" t="s">
        <v>113</v>
      </c>
      <c r="B82" s="88"/>
      <c r="C82" s="57"/>
      <c r="D82" s="88"/>
      <c r="E82" s="88"/>
      <c r="F82" s="57"/>
      <c r="G82" s="88"/>
      <c r="H82" s="57"/>
      <c r="I82" s="88"/>
      <c r="J82" s="57"/>
      <c r="K82" s="88"/>
    </row>
    <row r="83" spans="1:11" ht="12.75">
      <c r="A83" s="88"/>
      <c r="B83" s="88">
        <f>SUM(C83:K83)</f>
        <v>0</v>
      </c>
      <c r="C83" s="57"/>
      <c r="D83" s="88"/>
      <c r="E83" s="88"/>
      <c r="F83" s="57"/>
      <c r="G83" s="88"/>
      <c r="H83" s="57"/>
      <c r="I83" s="88"/>
      <c r="J83" s="57"/>
      <c r="K83" s="88"/>
    </row>
    <row r="84" spans="1:11" ht="12.75">
      <c r="A84" s="88" t="s">
        <v>110</v>
      </c>
      <c r="B84" s="88">
        <f>SUM(C84:K84)</f>
        <v>0</v>
      </c>
      <c r="C84" s="57"/>
      <c r="D84" s="88"/>
      <c r="E84" s="88"/>
      <c r="F84" s="57"/>
      <c r="G84" s="88"/>
      <c r="H84" s="57"/>
      <c r="I84" s="88"/>
      <c r="J84" s="57"/>
      <c r="K84" s="88"/>
    </row>
    <row r="85" spans="1:11" ht="13.5" thickBot="1">
      <c r="A85" s="88" t="s">
        <v>111</v>
      </c>
      <c r="B85" s="90">
        <f>SUM(C85:K85)</f>
        <v>0</v>
      </c>
      <c r="C85" s="91">
        <f aca="true" t="shared" si="21" ref="C85:K85">SUM(C31-C58)</f>
        <v>0</v>
      </c>
      <c r="D85" s="91">
        <f t="shared" si="21"/>
        <v>0</v>
      </c>
      <c r="E85" s="90">
        <f t="shared" si="21"/>
        <v>0</v>
      </c>
      <c r="F85" s="91">
        <f t="shared" si="21"/>
        <v>0</v>
      </c>
      <c r="G85" s="90">
        <f t="shared" si="21"/>
        <v>0</v>
      </c>
      <c r="H85" s="91">
        <f t="shared" si="21"/>
        <v>0</v>
      </c>
      <c r="I85" s="90">
        <f t="shared" si="21"/>
        <v>0</v>
      </c>
      <c r="J85" s="90">
        <f t="shared" si="21"/>
        <v>0</v>
      </c>
      <c r="K85" s="90">
        <f t="shared" si="21"/>
        <v>0</v>
      </c>
    </row>
    <row r="86" spans="1:11" ht="13.5" thickBot="1">
      <c r="A86" s="88" t="s">
        <v>114</v>
      </c>
      <c r="B86" s="92">
        <f aca="true" t="shared" si="22" ref="B86:K86">SUM(B83:B85)</f>
        <v>0</v>
      </c>
      <c r="C86" s="92">
        <f t="shared" si="22"/>
        <v>0</v>
      </c>
      <c r="D86" s="92">
        <f t="shared" si="22"/>
        <v>0</v>
      </c>
      <c r="E86" s="92">
        <f t="shared" si="22"/>
        <v>0</v>
      </c>
      <c r="F86" s="92">
        <f t="shared" si="22"/>
        <v>0</v>
      </c>
      <c r="G86" s="92">
        <f t="shared" si="22"/>
        <v>0</v>
      </c>
      <c r="H86" s="92">
        <f t="shared" si="22"/>
        <v>0</v>
      </c>
      <c r="I86" s="92">
        <f t="shared" si="22"/>
        <v>0</v>
      </c>
      <c r="J86" s="92">
        <f t="shared" si="22"/>
        <v>0</v>
      </c>
      <c r="K86" s="92">
        <f t="shared" si="22"/>
        <v>0</v>
      </c>
    </row>
    <row r="87" spans="1:11" ht="13.5" thickBot="1">
      <c r="A87" s="90"/>
      <c r="B87" s="90"/>
      <c r="C87" s="91"/>
      <c r="D87" s="90"/>
      <c r="E87" s="90"/>
      <c r="F87" s="91"/>
      <c r="G87" s="90"/>
      <c r="H87" s="91"/>
      <c r="I87" s="90"/>
      <c r="J87" s="91"/>
      <c r="K87" s="90"/>
    </row>
    <row r="88" spans="1:11" ht="13.5" thickBot="1">
      <c r="A88" s="90" t="s">
        <v>79</v>
      </c>
      <c r="B88" s="91">
        <f>SUM(B86+B80)</f>
        <v>-317805.48</v>
      </c>
      <c r="C88" s="92">
        <f aca="true" t="shared" si="23" ref="C88:K88">SUM(C86+C80)</f>
        <v>-12048.81</v>
      </c>
      <c r="D88" s="91">
        <f t="shared" si="23"/>
        <v>-155817.25</v>
      </c>
      <c r="E88" s="92">
        <f t="shared" si="23"/>
        <v>-32440</v>
      </c>
      <c r="F88" s="91">
        <f t="shared" si="23"/>
        <v>-48457.34</v>
      </c>
      <c r="G88" s="92">
        <f t="shared" si="23"/>
        <v>-18210.04</v>
      </c>
      <c r="H88" s="91">
        <f t="shared" si="23"/>
        <v>0</v>
      </c>
      <c r="I88" s="92">
        <f t="shared" si="23"/>
        <v>-44527.04</v>
      </c>
      <c r="J88" s="91">
        <f t="shared" si="23"/>
        <v>0</v>
      </c>
      <c r="K88" s="92">
        <f t="shared" si="23"/>
        <v>-6305</v>
      </c>
    </row>
    <row r="89" spans="1:11" ht="12.75">
      <c r="A89" s="57"/>
      <c r="B89" s="57"/>
      <c r="C89" s="60"/>
      <c r="D89" s="57"/>
      <c r="E89" s="60"/>
      <c r="F89" s="60"/>
      <c r="G89" s="60"/>
      <c r="H89" s="60"/>
      <c r="I89" s="60"/>
      <c r="J89" s="60"/>
      <c r="K89" s="60"/>
    </row>
    <row r="90" spans="1:11" ht="12.75">
      <c r="A90" s="57" t="s">
        <v>140</v>
      </c>
      <c r="B90" s="57"/>
      <c r="C90" s="60"/>
      <c r="D90" s="57"/>
      <c r="E90" s="60"/>
      <c r="F90" s="60"/>
      <c r="G90" s="60"/>
      <c r="H90" s="60"/>
      <c r="I90" s="60"/>
      <c r="J90" s="60"/>
      <c r="K90" s="60"/>
    </row>
    <row r="91" spans="1:11" ht="12.75">
      <c r="A91" s="57" t="s">
        <v>142</v>
      </c>
      <c r="B91" s="57"/>
      <c r="C91" s="60"/>
      <c r="D91" s="57"/>
      <c r="E91" s="60"/>
      <c r="F91" s="60"/>
      <c r="G91" s="60"/>
      <c r="H91" s="60"/>
      <c r="I91" s="60"/>
      <c r="J91" s="60"/>
      <c r="K91" s="60"/>
    </row>
    <row r="92" spans="1:11" ht="12.75">
      <c r="A92" s="57"/>
      <c r="B92" s="57"/>
      <c r="C92" s="60"/>
      <c r="D92" s="57"/>
      <c r="E92" s="60"/>
      <c r="F92" s="60"/>
      <c r="G92" s="60"/>
      <c r="H92" s="60"/>
      <c r="I92" s="60"/>
      <c r="J92" s="60"/>
      <c r="K92" s="60"/>
    </row>
    <row r="93" spans="1:11" ht="12.75">
      <c r="A93" s="57"/>
      <c r="B93" s="57"/>
      <c r="C93" s="60"/>
      <c r="D93" s="57"/>
      <c r="E93" s="60"/>
      <c r="F93" s="60"/>
      <c r="G93" s="60"/>
      <c r="H93" s="60"/>
      <c r="I93" s="60"/>
      <c r="J93" s="60"/>
      <c r="K93" s="60"/>
    </row>
    <row r="94" spans="1:4" ht="12.75">
      <c r="A94" s="128" t="s">
        <v>141</v>
      </c>
      <c r="B94" s="62"/>
      <c r="D94" s="62"/>
    </row>
    <row r="95" spans="1:4" ht="12.75">
      <c r="A95" s="127" t="s">
        <v>143</v>
      </c>
      <c r="B95" s="62"/>
      <c r="D95" s="62"/>
    </row>
    <row r="96" spans="1:4" ht="12.75">
      <c r="A96" s="62"/>
      <c r="B96" s="62"/>
      <c r="D96" s="62"/>
    </row>
    <row r="97" spans="1:4" ht="12.75">
      <c r="A97" s="62"/>
      <c r="B97" s="62"/>
      <c r="D97" s="62"/>
    </row>
    <row r="98" spans="1:4" ht="12.75">
      <c r="A98" s="62"/>
      <c r="B98" s="62"/>
      <c r="D98" s="62"/>
    </row>
    <row r="99" spans="1:4" ht="12.75">
      <c r="A99" s="62"/>
      <c r="B99" s="62"/>
      <c r="D99" s="62"/>
    </row>
    <row r="100" spans="1:4" ht="12.75">
      <c r="A100" s="62"/>
      <c r="B100" s="62"/>
      <c r="D100" s="62"/>
    </row>
    <row r="101" spans="1:4" ht="12.75">
      <c r="A101" s="62"/>
      <c r="B101" s="62"/>
      <c r="D101" s="62"/>
    </row>
    <row r="102" spans="1:4" ht="12.75">
      <c r="A102" s="62"/>
      <c r="B102" s="62"/>
      <c r="D102" s="62"/>
    </row>
    <row r="103" spans="1:4" ht="12.75">
      <c r="A103" s="62"/>
      <c r="B103" s="62"/>
      <c r="D103" s="62"/>
    </row>
    <row r="104" spans="1:4" ht="12.75">
      <c r="A104" s="62"/>
      <c r="B104" s="62"/>
      <c r="D104" s="62"/>
    </row>
    <row r="105" spans="1:4" ht="12.75">
      <c r="A105" s="62"/>
      <c r="B105" s="62"/>
      <c r="D105" s="62"/>
    </row>
    <row r="106" spans="1:4" ht="12.75">
      <c r="A106" s="62"/>
      <c r="B106" s="62"/>
      <c r="D106" s="62"/>
    </row>
    <row r="107" spans="1:4" ht="12.75">
      <c r="A107" s="62"/>
      <c r="B107" s="62"/>
      <c r="D107" s="62"/>
    </row>
    <row r="108" spans="1:4" ht="12.75">
      <c r="A108" s="62"/>
      <c r="B108" s="62"/>
      <c r="D108" s="62"/>
    </row>
    <row r="109" spans="1:4" ht="12.75">
      <c r="A109" s="62"/>
      <c r="B109" s="62"/>
      <c r="D109" s="62"/>
    </row>
    <row r="110" spans="1:4" ht="12.75">
      <c r="A110" s="62"/>
      <c r="B110" s="62"/>
      <c r="D110" s="62"/>
    </row>
    <row r="111" spans="1:4" ht="12.75">
      <c r="A111" s="62"/>
      <c r="B111" s="62"/>
      <c r="D111" s="62"/>
    </row>
    <row r="112" spans="1:4" ht="12.75">
      <c r="A112" s="62"/>
      <c r="B112" s="62"/>
      <c r="D112" s="62"/>
    </row>
    <row r="113" spans="1:4" ht="12.75">
      <c r="A113" s="62"/>
      <c r="B113" s="62"/>
      <c r="D113" s="62"/>
    </row>
    <row r="114" spans="1:4" ht="12.75">
      <c r="A114" s="62"/>
      <c r="B114" s="62"/>
      <c r="D114" s="62"/>
    </row>
    <row r="115" spans="1:4" ht="12.75">
      <c r="A115" s="62"/>
      <c r="B115" s="62"/>
      <c r="D115" s="62"/>
    </row>
    <row r="116" spans="1:4" ht="12.75">
      <c r="A116" s="62"/>
      <c r="B116" s="62"/>
      <c r="D116" s="62"/>
    </row>
    <row r="117" spans="1:4" ht="12.75">
      <c r="A117" s="62"/>
      <c r="B117" s="62"/>
      <c r="D117" s="62"/>
    </row>
    <row r="118" spans="1:4" ht="12.75">
      <c r="A118" s="62"/>
      <c r="B118" s="62"/>
      <c r="D118" s="62"/>
    </row>
    <row r="119" spans="1:4" ht="12.75">
      <c r="A119" s="62"/>
      <c r="B119" s="62"/>
      <c r="D119" s="62"/>
    </row>
    <row r="120" spans="1:4" ht="12.75">
      <c r="A120" s="62"/>
      <c r="B120" s="62"/>
      <c r="D120" s="62"/>
    </row>
    <row r="121" spans="1:4" ht="12.75">
      <c r="A121" s="62"/>
      <c r="B121" s="62"/>
      <c r="D121" s="62"/>
    </row>
    <row r="122" spans="1:4" ht="12.75">
      <c r="A122" s="62"/>
      <c r="B122" s="62"/>
      <c r="D122" s="62"/>
    </row>
    <row r="123" spans="1:4" ht="12.75">
      <c r="A123" s="62"/>
      <c r="B123" s="62"/>
      <c r="D123" s="62"/>
    </row>
    <row r="124" spans="1:4" ht="12.75">
      <c r="A124" s="62"/>
      <c r="B124" s="62"/>
      <c r="D124" s="62"/>
    </row>
    <row r="125" spans="1:4" ht="12.75">
      <c r="A125" s="62"/>
      <c r="B125" s="62"/>
      <c r="D125" s="62"/>
    </row>
    <row r="126" spans="1:4" ht="12.75">
      <c r="A126" s="62"/>
      <c r="B126" s="62"/>
      <c r="D126" s="62"/>
    </row>
    <row r="127" spans="1:4" ht="12.75">
      <c r="A127" s="62"/>
      <c r="B127" s="62"/>
      <c r="D127" s="62"/>
    </row>
    <row r="128" spans="1:4" ht="12.75">
      <c r="A128" s="62"/>
      <c r="B128" s="62"/>
      <c r="D128" s="62"/>
    </row>
    <row r="129" spans="1:4" ht="12.75">
      <c r="A129" s="62"/>
      <c r="B129" s="62"/>
      <c r="D129" s="62"/>
    </row>
    <row r="130" spans="1:4" ht="12.75">
      <c r="A130" s="62"/>
      <c r="B130" s="62"/>
      <c r="D130" s="62"/>
    </row>
    <row r="131" spans="1:4" ht="12.75">
      <c r="A131" s="62"/>
      <c r="B131" s="62"/>
      <c r="D131" s="62"/>
    </row>
    <row r="132" spans="1:4" ht="12.75">
      <c r="A132" s="62"/>
      <c r="B132" s="62"/>
      <c r="D132" s="62"/>
    </row>
    <row r="133" spans="1:4" ht="12.75">
      <c r="A133" s="62"/>
      <c r="B133" s="62"/>
      <c r="D133" s="62"/>
    </row>
    <row r="134" spans="1:4" ht="12.75">
      <c r="A134" s="62"/>
      <c r="B134" s="62"/>
      <c r="D134" s="62"/>
    </row>
    <row r="135" spans="1:4" ht="12.75">
      <c r="A135" s="62"/>
      <c r="B135" s="62"/>
      <c r="D135" s="62"/>
    </row>
    <row r="136" spans="1:4" ht="12.75">
      <c r="A136" s="62"/>
      <c r="B136" s="62"/>
      <c r="D136" s="62"/>
    </row>
    <row r="137" spans="1:4" ht="12.75">
      <c r="A137" s="62"/>
      <c r="B137" s="62"/>
      <c r="D137" s="62"/>
    </row>
    <row r="138" spans="1:4" ht="12.75">
      <c r="A138" s="62"/>
      <c r="B138" s="62"/>
      <c r="D138" s="62"/>
    </row>
    <row r="139" spans="1:4" ht="12.75">
      <c r="A139" s="62"/>
      <c r="B139" s="62"/>
      <c r="D139" s="62"/>
    </row>
    <row r="140" spans="1:4" ht="12.75">
      <c r="A140" s="62"/>
      <c r="B140" s="62"/>
      <c r="D140" s="62"/>
    </row>
    <row r="141" spans="1:4" ht="12.75">
      <c r="A141" s="62"/>
      <c r="B141" s="62"/>
      <c r="D141" s="62"/>
    </row>
    <row r="142" spans="1:4" ht="12.75">
      <c r="A142" s="62"/>
      <c r="B142" s="62"/>
      <c r="D142" s="62"/>
    </row>
    <row r="143" spans="1:4" ht="12.75">
      <c r="A143" s="62"/>
      <c r="B143" s="62"/>
      <c r="D143" s="62"/>
    </row>
    <row r="144" spans="1:4" ht="12.75">
      <c r="A144" s="62"/>
      <c r="B144" s="62"/>
      <c r="D144" s="62"/>
    </row>
    <row r="145" spans="1:4" ht="12.75">
      <c r="A145" s="62"/>
      <c r="B145" s="62"/>
      <c r="D145" s="62"/>
    </row>
    <row r="146" spans="1:4" ht="12.75">
      <c r="A146" s="62"/>
      <c r="B146" s="62"/>
      <c r="D146" s="62"/>
    </row>
    <row r="147" spans="1:4" ht="12.75">
      <c r="A147" s="62"/>
      <c r="B147" s="62"/>
      <c r="D147" s="62"/>
    </row>
    <row r="148" spans="1:4" ht="12.75">
      <c r="A148" s="62"/>
      <c r="B148" s="62"/>
      <c r="D148" s="62"/>
    </row>
    <row r="149" spans="1:4" ht="12.75">
      <c r="A149" s="62"/>
      <c r="B149" s="62"/>
      <c r="D149" s="62"/>
    </row>
    <row r="150" spans="1:4" ht="12.75">
      <c r="A150" s="62"/>
      <c r="B150" s="62"/>
      <c r="D150" s="62"/>
    </row>
    <row r="151" spans="1:4" ht="12.75">
      <c r="A151" s="62"/>
      <c r="B151" s="62"/>
      <c r="D151" s="62"/>
    </row>
    <row r="152" spans="1:4" ht="12.75">
      <c r="A152" s="62"/>
      <c r="B152" s="62"/>
      <c r="D152" s="62"/>
    </row>
    <row r="153" spans="1:4" ht="12.75">
      <c r="A153" s="62"/>
      <c r="B153" s="62"/>
      <c r="D153" s="62"/>
    </row>
    <row r="154" spans="1:4" ht="12.75">
      <c r="A154" s="62"/>
      <c r="B154" s="62"/>
      <c r="D154" s="62"/>
    </row>
    <row r="155" spans="1:4" ht="12.75">
      <c r="A155" s="62"/>
      <c r="B155" s="62"/>
      <c r="D155" s="62"/>
    </row>
    <row r="156" spans="1:4" ht="12.75">
      <c r="A156" s="62"/>
      <c r="B156" s="62"/>
      <c r="D156" s="62"/>
    </row>
    <row r="157" spans="1:4" ht="12.75">
      <c r="A157" s="62"/>
      <c r="B157" s="62"/>
      <c r="D157" s="62"/>
    </row>
    <row r="158" spans="1:4" ht="12.75">
      <c r="A158" s="62"/>
      <c r="B158" s="62"/>
      <c r="D158" s="62"/>
    </row>
    <row r="159" spans="1:4" ht="12.75">
      <c r="A159" s="62"/>
      <c r="B159" s="62"/>
      <c r="D159" s="62"/>
    </row>
    <row r="160" spans="1:4" ht="12.75">
      <c r="A160" s="62"/>
      <c r="B160" s="62"/>
      <c r="D160" s="62"/>
    </row>
    <row r="161" spans="1:4" ht="12.75">
      <c r="A161" s="62"/>
      <c r="B161" s="62"/>
      <c r="D161" s="62"/>
    </row>
    <row r="162" spans="1:4" ht="12.75">
      <c r="A162" s="62"/>
      <c r="B162" s="62"/>
      <c r="D162" s="62"/>
    </row>
    <row r="163" spans="1:4" ht="12.75">
      <c r="A163" s="62"/>
      <c r="B163" s="62"/>
      <c r="D163" s="62"/>
    </row>
    <row r="164" spans="1:4" ht="12.75">
      <c r="A164" s="62"/>
      <c r="B164" s="62"/>
      <c r="D164" s="62"/>
    </row>
    <row r="165" spans="1:4" ht="12.75">
      <c r="A165" s="62"/>
      <c r="B165" s="62"/>
      <c r="D165" s="62"/>
    </row>
    <row r="166" spans="1:4" ht="12.75">
      <c r="A166" s="62"/>
      <c r="B166" s="62"/>
      <c r="D166" s="62"/>
    </row>
    <row r="167" spans="1:4" ht="12.75">
      <c r="A167" s="62"/>
      <c r="B167" s="62"/>
      <c r="D167" s="62"/>
    </row>
    <row r="168" spans="1:4" ht="12.75">
      <c r="A168" s="62"/>
      <c r="B168" s="62"/>
      <c r="D168" s="62"/>
    </row>
    <row r="169" spans="1:4" ht="12.75">
      <c r="A169" s="62"/>
      <c r="B169" s="62"/>
      <c r="D169" s="62"/>
    </row>
    <row r="170" spans="1:4" ht="12.75">
      <c r="A170" s="62"/>
      <c r="B170" s="62"/>
      <c r="D170" s="62"/>
    </row>
    <row r="171" spans="1:4" ht="12.75">
      <c r="A171" s="62"/>
      <c r="B171" s="62"/>
      <c r="D171" s="62"/>
    </row>
    <row r="172" spans="1:4" ht="12.75">
      <c r="A172" s="62"/>
      <c r="B172" s="62"/>
      <c r="D172" s="62"/>
    </row>
    <row r="173" spans="1:4" ht="12.75">
      <c r="A173" s="62"/>
      <c r="B173" s="62"/>
      <c r="D173" s="62"/>
    </row>
    <row r="174" spans="1:4" ht="12.75">
      <c r="A174" s="62"/>
      <c r="B174" s="62"/>
      <c r="D174" s="62"/>
    </row>
    <row r="175" spans="1:4" ht="12.75">
      <c r="A175" s="62"/>
      <c r="B175" s="62"/>
      <c r="D175" s="62"/>
    </row>
    <row r="176" spans="1:4" ht="12.75">
      <c r="A176" s="62"/>
      <c r="B176" s="62"/>
      <c r="D176" s="62"/>
    </row>
    <row r="177" spans="1:4" ht="12.75">
      <c r="A177" s="62"/>
      <c r="B177" s="62"/>
      <c r="D177" s="62"/>
    </row>
    <row r="178" spans="1:4" ht="12.75">
      <c r="A178" s="62"/>
      <c r="B178" s="62"/>
      <c r="D178" s="62"/>
    </row>
    <row r="179" spans="1:4" ht="12.75">
      <c r="A179" s="62"/>
      <c r="B179" s="62"/>
      <c r="D179" s="62"/>
    </row>
    <row r="180" spans="1:5" ht="12.75">
      <c r="A180" s="62"/>
      <c r="B180" s="62"/>
      <c r="D180" s="62"/>
      <c r="E180" s="63"/>
    </row>
    <row r="181" spans="1:5" ht="12.75">
      <c r="A181" s="62"/>
      <c r="B181" s="62"/>
      <c r="D181" s="62"/>
      <c r="E181" s="63"/>
    </row>
    <row r="182" spans="1:5" ht="12.75">
      <c r="A182" s="62"/>
      <c r="B182" s="62"/>
      <c r="D182" s="62"/>
      <c r="E182" s="63"/>
    </row>
    <row r="183" spans="1:5" ht="12.75">
      <c r="A183" s="62"/>
      <c r="B183" s="62"/>
      <c r="D183" s="62"/>
      <c r="E183" s="63"/>
    </row>
    <row r="184" spans="1:5" ht="12.75">
      <c r="A184" s="62"/>
      <c r="B184" s="62"/>
      <c r="D184" s="62"/>
      <c r="E184" s="63"/>
    </row>
    <row r="185" spans="1:4" ht="12.75">
      <c r="A185" s="62"/>
      <c r="B185" s="62"/>
      <c r="D185" s="62"/>
    </row>
    <row r="186" spans="1:4" ht="12.75">
      <c r="A186" s="62"/>
      <c r="B186" s="62"/>
      <c r="D186" s="62"/>
    </row>
    <row r="187" spans="1:4" ht="12.75">
      <c r="A187" s="62"/>
      <c r="B187" s="62"/>
      <c r="D187" s="62"/>
    </row>
    <row r="188" spans="1:4" ht="12.75">
      <c r="A188" s="62"/>
      <c r="B188" s="62"/>
      <c r="D188" s="62"/>
    </row>
    <row r="189" spans="1:4" ht="12.75">
      <c r="A189" s="62"/>
      <c r="B189" s="62"/>
      <c r="D189" s="62"/>
    </row>
    <row r="190" spans="1:4" ht="12.75">
      <c r="A190" s="62"/>
      <c r="B190" s="62"/>
      <c r="D190" s="62"/>
    </row>
    <row r="191" spans="1:4" ht="12.75">
      <c r="A191" s="62"/>
      <c r="B191" s="62"/>
      <c r="D191" s="62"/>
    </row>
    <row r="192" spans="1:4" ht="12.75">
      <c r="A192" s="62"/>
      <c r="B192" s="62"/>
      <c r="D192" s="62"/>
    </row>
    <row r="193" spans="1:4" ht="12.75">
      <c r="A193" s="62"/>
      <c r="B193" s="62"/>
      <c r="D193" s="62"/>
    </row>
    <row r="194" spans="1:4" ht="12.75">
      <c r="A194" s="62"/>
      <c r="B194" s="62"/>
      <c r="D194" s="62"/>
    </row>
    <row r="195" spans="1:4" ht="12.75">
      <c r="A195" s="62"/>
      <c r="B195" s="62"/>
      <c r="D195" s="62"/>
    </row>
    <row r="196" spans="1:4" ht="12.75">
      <c r="A196" s="62"/>
      <c r="B196" s="62"/>
      <c r="D196" s="62"/>
    </row>
    <row r="197" spans="1:4" ht="12.75">
      <c r="A197" s="62"/>
      <c r="B197" s="62"/>
      <c r="D197" s="62"/>
    </row>
    <row r="198" spans="1:4" ht="12.75">
      <c r="A198" s="62"/>
      <c r="B198" s="62"/>
      <c r="D198" s="62"/>
    </row>
    <row r="199" spans="1:4" ht="12.75">
      <c r="A199" s="62"/>
      <c r="B199" s="62"/>
      <c r="D199" s="62"/>
    </row>
    <row r="200" spans="1:4" ht="12.75">
      <c r="A200" s="62"/>
      <c r="B200" s="62"/>
      <c r="D200" s="62"/>
    </row>
    <row r="201" spans="1:4" ht="12.75">
      <c r="A201" s="62"/>
      <c r="B201" s="62"/>
      <c r="D201" s="62"/>
    </row>
    <row r="202" spans="1:4" ht="12.75">
      <c r="A202" s="62"/>
      <c r="B202" s="62"/>
      <c r="D202" s="62"/>
    </row>
    <row r="203" spans="1:4" ht="12.75">
      <c r="A203" s="62"/>
      <c r="B203" s="62"/>
      <c r="D203" s="62"/>
    </row>
    <row r="204" spans="1:5" ht="12.75">
      <c r="A204" s="62"/>
      <c r="B204" s="62"/>
      <c r="D204" s="62"/>
      <c r="E204" s="63"/>
    </row>
    <row r="205" spans="1:4" ht="12.75">
      <c r="A205" s="62"/>
      <c r="B205" s="62"/>
      <c r="D205" s="62"/>
    </row>
    <row r="206" spans="1:4" ht="12.75">
      <c r="A206" s="62"/>
      <c r="B206" s="62"/>
      <c r="D206" s="62"/>
    </row>
    <row r="207" spans="1:4" ht="12.75">
      <c r="A207" s="62"/>
      <c r="B207" s="62"/>
      <c r="D207" s="62"/>
    </row>
    <row r="208" spans="1:4" ht="12.75">
      <c r="A208" s="62"/>
      <c r="B208" s="62"/>
      <c r="D208" s="62"/>
    </row>
    <row r="209" spans="1:4" ht="12.75">
      <c r="A209" s="62"/>
      <c r="B209" s="62"/>
      <c r="D209" s="62"/>
    </row>
    <row r="210" spans="1:4" ht="12.75">
      <c r="A210" s="62"/>
      <c r="B210" s="62"/>
      <c r="D210" s="62"/>
    </row>
    <row r="211" spans="1:4" ht="12.75">
      <c r="A211" s="62"/>
      <c r="B211" s="62"/>
      <c r="D211" s="62"/>
    </row>
    <row r="212" spans="1:4" ht="12.75">
      <c r="A212" s="62"/>
      <c r="B212" s="62"/>
      <c r="D212" s="62"/>
    </row>
    <row r="213" spans="1:4" ht="12.75">
      <c r="A213" s="62"/>
      <c r="B213" s="62"/>
      <c r="D213" s="62"/>
    </row>
    <row r="214" spans="1:4" ht="12.75">
      <c r="A214" s="62"/>
      <c r="B214" s="62"/>
      <c r="D214" s="62"/>
    </row>
    <row r="215" spans="1:4" ht="12.75">
      <c r="A215" s="62"/>
      <c r="B215" s="62"/>
      <c r="D215" s="62"/>
    </row>
    <row r="216" spans="1:4" ht="12.75">
      <c r="A216" s="62"/>
      <c r="B216" s="62"/>
      <c r="D216" s="62"/>
    </row>
    <row r="217" spans="1:4" ht="12.75">
      <c r="A217" s="62"/>
      <c r="B217" s="62"/>
      <c r="D217" s="62"/>
    </row>
    <row r="218" spans="1:4" ht="12.75">
      <c r="A218" s="62"/>
      <c r="B218" s="62"/>
      <c r="D218" s="62"/>
    </row>
    <row r="219" spans="1:4" ht="12.75">
      <c r="A219" s="62"/>
      <c r="B219" s="62"/>
      <c r="D219" s="62"/>
    </row>
    <row r="220" spans="1:4" ht="12.75">
      <c r="A220" s="62"/>
      <c r="B220" s="62"/>
      <c r="D220" s="62"/>
    </row>
    <row r="221" spans="1:4" ht="12.75">
      <c r="A221" s="62"/>
      <c r="B221" s="62"/>
      <c r="D221" s="62"/>
    </row>
    <row r="222" spans="1:5" ht="12.75">
      <c r="A222" s="62"/>
      <c r="B222" s="62"/>
      <c r="D222" s="62"/>
      <c r="E222" s="63"/>
    </row>
    <row r="223" spans="1:5" ht="12.75">
      <c r="A223" s="62"/>
      <c r="B223" s="62"/>
      <c r="D223" s="62"/>
      <c r="E223" s="63"/>
    </row>
    <row r="224" spans="1:4" ht="12.75">
      <c r="A224" s="62"/>
      <c r="B224" s="62"/>
      <c r="D224" s="62"/>
    </row>
    <row r="225" spans="1:4" ht="12.75">
      <c r="A225" s="62"/>
      <c r="B225" s="62"/>
      <c r="D225" s="62"/>
    </row>
    <row r="226" spans="1:4" ht="12.75">
      <c r="A226" s="62"/>
      <c r="B226" s="62"/>
      <c r="D226" s="62"/>
    </row>
    <row r="227" spans="1:4" ht="12.75">
      <c r="A227" s="62"/>
      <c r="B227" s="62"/>
      <c r="D227" s="62"/>
    </row>
    <row r="228" spans="1:4" ht="12.75">
      <c r="A228" s="62"/>
      <c r="B228" s="62"/>
      <c r="D228" s="62"/>
    </row>
    <row r="229" spans="1:4" ht="12.75">
      <c r="A229" s="62"/>
      <c r="B229" s="62"/>
      <c r="D229" s="62"/>
    </row>
    <row r="230" spans="1:4" ht="12.75">
      <c r="A230" s="62"/>
      <c r="B230" s="62"/>
      <c r="D230" s="62"/>
    </row>
    <row r="231" spans="1:5" ht="12.75">
      <c r="A231" s="62"/>
      <c r="B231" s="62"/>
      <c r="D231" s="62"/>
      <c r="E231" s="63"/>
    </row>
    <row r="232" spans="1:4" ht="12.75">
      <c r="A232" s="62"/>
      <c r="B232" s="62"/>
      <c r="D232" s="62"/>
    </row>
    <row r="233" spans="1:4" ht="12.75">
      <c r="A233" s="62"/>
      <c r="B233" s="62"/>
      <c r="D233" s="62"/>
    </row>
    <row r="234" spans="1:4" ht="12.75">
      <c r="A234" s="62"/>
      <c r="B234" s="62"/>
      <c r="D234" s="62"/>
    </row>
    <row r="235" spans="1:4" ht="12.75">
      <c r="A235" s="62"/>
      <c r="B235" s="62"/>
      <c r="D235" s="62"/>
    </row>
    <row r="236" spans="1:4" ht="12.75">
      <c r="A236" s="62"/>
      <c r="B236" s="62"/>
      <c r="D236" s="62"/>
    </row>
    <row r="237" spans="1:4" ht="12.75">
      <c r="A237" s="62"/>
      <c r="B237" s="62"/>
      <c r="D237" s="62"/>
    </row>
    <row r="238" spans="1:4" ht="12.75">
      <c r="A238" s="62"/>
      <c r="B238" s="62"/>
      <c r="D238" s="62"/>
    </row>
    <row r="239" spans="1:4" ht="12.75">
      <c r="A239" s="62"/>
      <c r="B239" s="62"/>
      <c r="D239" s="62"/>
    </row>
    <row r="240" spans="1:4" ht="12.75">
      <c r="A240" s="62"/>
      <c r="B240" s="62"/>
      <c r="D240" s="62"/>
    </row>
    <row r="241" spans="1:4" ht="12.75">
      <c r="A241" s="62"/>
      <c r="B241" s="62"/>
      <c r="D241" s="62"/>
    </row>
    <row r="242" spans="1:4" ht="12.75">
      <c r="A242" s="62"/>
      <c r="B242" s="62"/>
      <c r="D242" s="62"/>
    </row>
    <row r="243" spans="1:4" ht="12.75">
      <c r="A243" s="62"/>
      <c r="B243" s="62"/>
      <c r="D243" s="62"/>
    </row>
    <row r="244" spans="1:4" ht="12.75">
      <c r="A244" s="62"/>
      <c r="B244" s="62"/>
      <c r="D244" s="62"/>
    </row>
    <row r="245" spans="1:4" ht="12.75">
      <c r="A245" s="62"/>
      <c r="B245" s="62"/>
      <c r="D245" s="62"/>
    </row>
    <row r="246" spans="1:4" ht="12.75">
      <c r="A246" s="62"/>
      <c r="B246" s="62"/>
      <c r="D246" s="62"/>
    </row>
    <row r="247" spans="1:4" ht="12.75">
      <c r="A247" s="62"/>
      <c r="B247" s="62"/>
      <c r="D247" s="62"/>
    </row>
    <row r="248" spans="1:4" ht="12.75">
      <c r="A248" s="62"/>
      <c r="B248" s="62"/>
      <c r="D248" s="62"/>
    </row>
    <row r="249" spans="1:4" ht="12.75">
      <c r="A249" s="62"/>
      <c r="B249" s="62"/>
      <c r="D249" s="62"/>
    </row>
    <row r="250" spans="1:4" ht="12.75">
      <c r="A250" s="62"/>
      <c r="B250" s="62"/>
      <c r="D250" s="62"/>
    </row>
    <row r="251" spans="1:4" ht="12.75">
      <c r="A251" s="62"/>
      <c r="B251" s="62"/>
      <c r="D251" s="62"/>
    </row>
    <row r="252" spans="1:4" ht="12.75">
      <c r="A252" s="64"/>
      <c r="B252" s="62"/>
      <c r="D252" s="62"/>
    </row>
    <row r="253" spans="1:4" ht="12.75">
      <c r="A253" s="64"/>
      <c r="B253" s="64"/>
      <c r="D253" s="62"/>
    </row>
    <row r="254" spans="1:4" ht="12.75">
      <c r="A254" s="64"/>
      <c r="B254" s="64"/>
      <c r="D254" s="62"/>
    </row>
    <row r="255" spans="1:4" ht="12.75">
      <c r="A255" s="64"/>
      <c r="B255" s="64"/>
      <c r="D255" s="62"/>
    </row>
    <row r="256" spans="1:4" ht="12.75">
      <c r="A256" s="64"/>
      <c r="B256" s="64"/>
      <c r="D256" s="62"/>
    </row>
    <row r="257" spans="1:4" ht="12.75">
      <c r="A257" s="64"/>
      <c r="B257" s="64"/>
      <c r="D257" s="62"/>
    </row>
    <row r="258" spans="1:4" ht="12.75">
      <c r="A258" s="64"/>
      <c r="B258" s="64"/>
      <c r="D258" s="62"/>
    </row>
    <row r="259" spans="1:4" ht="12.75">
      <c r="A259" s="64"/>
      <c r="B259" s="64"/>
      <c r="D259" s="62"/>
    </row>
    <row r="260" spans="1:4" ht="12.75">
      <c r="A260" s="64"/>
      <c r="B260" s="64"/>
      <c r="D260" s="62"/>
    </row>
    <row r="261" spans="1:4" ht="12.75">
      <c r="A261" s="64"/>
      <c r="B261" s="64"/>
      <c r="D261" s="62"/>
    </row>
    <row r="262" spans="1:5" ht="12.75">
      <c r="A262" s="64"/>
      <c r="B262" s="64"/>
      <c r="D262" s="62"/>
      <c r="E262" s="63"/>
    </row>
    <row r="263" spans="1:5" ht="12.75">
      <c r="A263" s="64"/>
      <c r="B263" s="64"/>
      <c r="D263" s="62"/>
      <c r="E263" s="63"/>
    </row>
    <row r="264" spans="1:4" ht="12.75">
      <c r="A264" s="64"/>
      <c r="B264" s="64"/>
      <c r="D264" s="62"/>
    </row>
    <row r="265" spans="1:5" ht="12.75">
      <c r="A265" s="64"/>
      <c r="B265" s="64"/>
      <c r="D265" s="62"/>
      <c r="E265" s="63"/>
    </row>
    <row r="266" spans="1:4" ht="12.75">
      <c r="A266" s="64"/>
      <c r="B266" s="64"/>
      <c r="D266" s="62"/>
    </row>
    <row r="267" spans="1:4" ht="12.75">
      <c r="A267" s="64"/>
      <c r="B267" s="64"/>
      <c r="D267" s="62"/>
    </row>
    <row r="268" spans="1:4" ht="12.75">
      <c r="A268" s="64"/>
      <c r="B268" s="64"/>
      <c r="D268" s="62"/>
    </row>
    <row r="269" spans="1:4" ht="12.75">
      <c r="A269" s="64"/>
      <c r="B269" s="64"/>
      <c r="D269" s="62"/>
    </row>
    <row r="270" spans="1:4" ht="12.75">
      <c r="A270" s="64"/>
      <c r="B270" s="64"/>
      <c r="D270" s="62"/>
    </row>
    <row r="271" spans="1:4" ht="12.75">
      <c r="A271" s="64"/>
      <c r="B271" s="64"/>
      <c r="D271" s="62"/>
    </row>
    <row r="272" spans="1:4" ht="12.75">
      <c r="A272" s="64"/>
      <c r="B272" s="64"/>
      <c r="D272" s="62"/>
    </row>
    <row r="273" spans="1:4" ht="12.75">
      <c r="A273" s="64"/>
      <c r="B273" s="64"/>
      <c r="D273" s="62"/>
    </row>
    <row r="274" spans="1:4" ht="12.75">
      <c r="A274" s="64"/>
      <c r="B274" s="64"/>
      <c r="D274" s="62"/>
    </row>
    <row r="275" spans="1:5" ht="12.75">
      <c r="A275" s="64"/>
      <c r="B275" s="64"/>
      <c r="D275" s="62"/>
      <c r="E275" s="63"/>
    </row>
    <row r="276" spans="1:5" ht="12.75">
      <c r="A276" s="64"/>
      <c r="B276" s="64"/>
      <c r="D276" s="62"/>
      <c r="E276" s="63"/>
    </row>
    <row r="277" spans="1:5" ht="12.75">
      <c r="A277" s="64"/>
      <c r="B277" s="64"/>
      <c r="D277" s="62"/>
      <c r="E277" s="63"/>
    </row>
    <row r="278" spans="1:4" ht="12.75">
      <c r="A278" s="64"/>
      <c r="B278" s="64"/>
      <c r="D278" s="62"/>
    </row>
    <row r="279" spans="1:4" ht="12.75">
      <c r="A279" s="64"/>
      <c r="B279" s="64"/>
      <c r="D279" s="62"/>
    </row>
    <row r="280" spans="1:4" ht="12.75">
      <c r="A280" s="64"/>
      <c r="B280" s="64"/>
      <c r="D280" s="62"/>
    </row>
    <row r="281" spans="1:4" ht="12.75">
      <c r="A281" s="64"/>
      <c r="B281" s="64"/>
      <c r="D281" s="62"/>
    </row>
    <row r="282" spans="1:4" ht="12.75">
      <c r="A282" s="64"/>
      <c r="B282" s="64"/>
      <c r="D282" s="62"/>
    </row>
    <row r="283" spans="1:4" ht="12.75">
      <c r="A283" s="64"/>
      <c r="B283" s="64"/>
      <c r="D283" s="62"/>
    </row>
    <row r="284" spans="1:4" ht="12.75">
      <c r="A284" s="64"/>
      <c r="B284" s="64"/>
      <c r="D284" s="62"/>
    </row>
    <row r="285" spans="1:4" ht="12.75">
      <c r="A285" s="64"/>
      <c r="B285" s="64"/>
      <c r="D285" s="62"/>
    </row>
    <row r="286" spans="1:4" ht="12.75">
      <c r="A286" s="64"/>
      <c r="B286" s="64"/>
      <c r="D286" s="62"/>
    </row>
    <row r="287" spans="1:4" ht="12.75">
      <c r="A287" s="64"/>
      <c r="B287" s="64"/>
      <c r="D287" s="62"/>
    </row>
    <row r="288" spans="1:4" ht="12.75">
      <c r="A288" s="64"/>
      <c r="B288" s="64"/>
      <c r="D288" s="62"/>
    </row>
    <row r="289" spans="1:4" ht="12.75">
      <c r="A289" s="64"/>
      <c r="B289" s="64"/>
      <c r="D289" s="62"/>
    </row>
    <row r="290" spans="1:4" ht="12.75">
      <c r="A290" s="64"/>
      <c r="B290" s="64"/>
      <c r="D290" s="62"/>
    </row>
    <row r="291" spans="1:4" ht="12.75">
      <c r="A291" s="64"/>
      <c r="B291" s="64"/>
      <c r="D291" s="62"/>
    </row>
    <row r="292" spans="1:4" ht="12.75">
      <c r="A292" s="62"/>
      <c r="B292" s="64"/>
      <c r="D292" s="62"/>
    </row>
    <row r="293" spans="1:4" ht="12.75">
      <c r="A293" s="62"/>
      <c r="B293" s="62"/>
      <c r="D293" s="62"/>
    </row>
    <row r="294" spans="1:4" ht="12.75">
      <c r="A294" s="62"/>
      <c r="B294" s="62"/>
      <c r="D294" s="62"/>
    </row>
    <row r="295" spans="1:4" ht="12.75">
      <c r="A295" s="62"/>
      <c r="B295" s="62"/>
      <c r="D295" s="62"/>
    </row>
    <row r="296" spans="1:4" ht="12.75">
      <c r="A296" s="62"/>
      <c r="B296" s="62"/>
      <c r="D296" s="62"/>
    </row>
    <row r="297" spans="1:4" ht="12.75">
      <c r="A297" s="62"/>
      <c r="B297" s="62"/>
      <c r="D297" s="62"/>
    </row>
    <row r="298" spans="1:4" ht="12.75">
      <c r="A298" s="62"/>
      <c r="B298" s="62"/>
      <c r="D298" s="62"/>
    </row>
    <row r="299" spans="1:4" ht="12.75">
      <c r="A299" s="62"/>
      <c r="B299" s="62"/>
      <c r="D299" s="62"/>
    </row>
    <row r="300" spans="1:4" ht="12.75">
      <c r="A300" s="62"/>
      <c r="B300" s="62"/>
      <c r="D300" s="62"/>
    </row>
    <row r="301" spans="1:4" ht="12.75">
      <c r="A301" s="62"/>
      <c r="B301" s="62"/>
      <c r="D301" s="62"/>
    </row>
    <row r="302" spans="1:4" ht="12.75">
      <c r="A302" s="62"/>
      <c r="B302" s="62"/>
      <c r="D302" s="62"/>
    </row>
    <row r="303" spans="1:4" ht="12.75">
      <c r="A303" s="62"/>
      <c r="B303" s="62"/>
      <c r="D303" s="62"/>
    </row>
    <row r="304" spans="1:4" ht="12.75">
      <c r="A304" s="62"/>
      <c r="B304" s="62"/>
      <c r="D304" s="62"/>
    </row>
    <row r="305" spans="1:4" ht="12.75">
      <c r="A305" s="62"/>
      <c r="B305" s="62"/>
      <c r="D305" s="62"/>
    </row>
    <row r="306" spans="1:4" ht="12.75">
      <c r="A306" s="62"/>
      <c r="B306" s="62"/>
      <c r="D306" s="62"/>
    </row>
    <row r="307" spans="1:4" ht="12.75">
      <c r="A307" s="62"/>
      <c r="B307" s="62"/>
      <c r="D307" s="62"/>
    </row>
    <row r="308" spans="1:4" ht="12.75">
      <c r="A308" s="62"/>
      <c r="B308" s="62"/>
      <c r="D308" s="62"/>
    </row>
    <row r="309" spans="1:4" ht="12.75">
      <c r="A309" s="62"/>
      <c r="B309" s="62"/>
      <c r="D309" s="62"/>
    </row>
    <row r="310" spans="1:4" ht="12.75">
      <c r="A310" s="62"/>
      <c r="B310" s="62"/>
      <c r="D310" s="62"/>
    </row>
    <row r="311" spans="1:4" ht="12.75">
      <c r="A311" s="62"/>
      <c r="B311" s="62"/>
      <c r="D311" s="62"/>
    </row>
    <row r="312" spans="1:4" ht="12.75">
      <c r="A312" s="62"/>
      <c r="B312" s="62"/>
      <c r="D312" s="62"/>
    </row>
    <row r="313" spans="1:4" ht="12.75">
      <c r="A313" s="62"/>
      <c r="B313" s="62"/>
      <c r="D313" s="62"/>
    </row>
    <row r="314" spans="1:4" ht="12.75">
      <c r="A314" s="62"/>
      <c r="B314" s="62"/>
      <c r="D314" s="62"/>
    </row>
    <row r="315" spans="1:4" ht="12.75">
      <c r="A315" s="62"/>
      <c r="B315" s="62"/>
      <c r="D315" s="62"/>
    </row>
    <row r="316" spans="1:4" ht="12.75">
      <c r="A316" s="62"/>
      <c r="B316" s="62"/>
      <c r="D316" s="62"/>
    </row>
    <row r="317" spans="1:4" ht="12.75">
      <c r="A317" s="62"/>
      <c r="B317" s="62"/>
      <c r="D317" s="62"/>
    </row>
    <row r="318" spans="1:4" ht="12.75">
      <c r="A318" s="62"/>
      <c r="B318" s="62"/>
      <c r="D318" s="62"/>
    </row>
    <row r="319" spans="1:4" ht="12.75">
      <c r="A319" s="62"/>
      <c r="B319" s="62"/>
      <c r="D319" s="62"/>
    </row>
    <row r="320" spans="1:4" ht="12.75">
      <c r="A320" s="62"/>
      <c r="B320" s="62"/>
      <c r="D320" s="62"/>
    </row>
    <row r="321" spans="1:4" ht="12.75">
      <c r="A321" s="62"/>
      <c r="B321" s="62"/>
      <c r="D321" s="62"/>
    </row>
    <row r="322" spans="1:4" ht="12.75">
      <c r="A322" s="62"/>
      <c r="B322" s="62"/>
      <c r="D322" s="62"/>
    </row>
    <row r="323" spans="1:4" ht="12.75">
      <c r="A323" s="62"/>
      <c r="B323" s="62"/>
      <c r="D323" s="62"/>
    </row>
    <row r="324" spans="1:4" ht="12.75">
      <c r="A324" s="62"/>
      <c r="B324" s="62"/>
      <c r="D324" s="62"/>
    </row>
    <row r="325" spans="1:4" ht="12.75">
      <c r="A325" s="62"/>
      <c r="B325" s="62"/>
      <c r="D325" s="62"/>
    </row>
    <row r="326" spans="1:4" ht="12.75">
      <c r="A326" s="62"/>
      <c r="B326" s="62"/>
      <c r="D326" s="62"/>
    </row>
    <row r="327" spans="1:4" ht="12.75">
      <c r="A327" s="62"/>
      <c r="B327" s="62"/>
      <c r="D327" s="62"/>
    </row>
    <row r="328" spans="1:4" ht="12.75">
      <c r="A328" s="62"/>
      <c r="B328" s="62"/>
      <c r="D328" s="62"/>
    </row>
    <row r="329" spans="1:4" ht="12.75">
      <c r="A329" s="62"/>
      <c r="B329" s="62"/>
      <c r="D329" s="62"/>
    </row>
    <row r="330" spans="1:4" ht="12.75">
      <c r="A330" s="62"/>
      <c r="B330" s="62"/>
      <c r="D330" s="62"/>
    </row>
    <row r="331" spans="1:4" ht="12.75">
      <c r="A331" s="62"/>
      <c r="B331" s="62"/>
      <c r="D331" s="62"/>
    </row>
    <row r="332" spans="1:4" ht="12.75">
      <c r="A332" s="62"/>
      <c r="B332" s="62"/>
      <c r="D332" s="62"/>
    </row>
    <row r="333" spans="1:4" ht="12.75">
      <c r="A333" s="62"/>
      <c r="B333" s="62"/>
      <c r="D333" s="62"/>
    </row>
    <row r="334" spans="1:4" ht="12.75">
      <c r="A334" s="62"/>
      <c r="B334" s="62"/>
      <c r="D334" s="62"/>
    </row>
    <row r="335" spans="1:4" ht="12.75">
      <c r="A335" s="62"/>
      <c r="B335" s="62"/>
      <c r="D335" s="62"/>
    </row>
    <row r="336" spans="1:4" ht="12.75">
      <c r="A336" s="62"/>
      <c r="B336" s="62"/>
      <c r="D336" s="62"/>
    </row>
    <row r="337" spans="1:4" ht="12.75">
      <c r="A337" s="62"/>
      <c r="B337" s="62"/>
      <c r="D337" s="62"/>
    </row>
    <row r="338" spans="1:4" ht="12.75">
      <c r="A338" s="62"/>
      <c r="B338" s="62"/>
      <c r="D338" s="62"/>
    </row>
    <row r="339" spans="1:4" ht="12.75">
      <c r="A339" s="62"/>
      <c r="B339" s="62"/>
      <c r="D339" s="62"/>
    </row>
    <row r="340" spans="1:4" ht="12.75">
      <c r="A340" s="62"/>
      <c r="B340" s="62"/>
      <c r="D340" s="62"/>
    </row>
    <row r="341" spans="1:4" ht="12.75">
      <c r="A341" s="62"/>
      <c r="B341" s="62"/>
      <c r="D341" s="62"/>
    </row>
    <row r="342" spans="1:4" ht="12.75">
      <c r="A342" s="62"/>
      <c r="B342" s="62"/>
      <c r="D342" s="62"/>
    </row>
    <row r="343" spans="1:4" ht="12.75">
      <c r="A343" s="62"/>
      <c r="B343" s="62"/>
      <c r="D343" s="62"/>
    </row>
    <row r="344" spans="1:4" ht="12.75">
      <c r="A344" s="62"/>
      <c r="B344" s="62"/>
      <c r="D344" s="62"/>
    </row>
    <row r="345" spans="1:4" ht="12.75">
      <c r="A345" s="62"/>
      <c r="B345" s="62"/>
      <c r="D345" s="62"/>
    </row>
    <row r="346" spans="1:4" ht="12.75">
      <c r="A346" s="62"/>
      <c r="B346" s="62"/>
      <c r="D346" s="62"/>
    </row>
    <row r="347" spans="1:4" ht="12.75">
      <c r="A347" s="62"/>
      <c r="B347" s="62"/>
      <c r="D347" s="62"/>
    </row>
    <row r="348" spans="1:4" ht="12.75">
      <c r="A348" s="62"/>
      <c r="B348" s="62"/>
      <c r="D348" s="62"/>
    </row>
    <row r="349" spans="1:4" ht="12.75">
      <c r="A349" s="62"/>
      <c r="B349" s="62"/>
      <c r="D349" s="62"/>
    </row>
    <row r="350" spans="1:4" ht="12.75">
      <c r="A350" s="62"/>
      <c r="B350" s="62"/>
      <c r="D350" s="62"/>
    </row>
    <row r="351" spans="1:4" ht="12.75">
      <c r="A351" s="62"/>
      <c r="B351" s="62"/>
      <c r="D351" s="62"/>
    </row>
    <row r="352" spans="1:4" ht="12.75">
      <c r="A352" s="62"/>
      <c r="B352" s="62"/>
      <c r="D352" s="62"/>
    </row>
    <row r="353" spans="1:4" ht="12.75">
      <c r="A353" s="62"/>
      <c r="B353" s="62"/>
      <c r="D353" s="62"/>
    </row>
    <row r="354" spans="1:4" ht="12.75">
      <c r="A354" s="62"/>
      <c r="B354" s="62"/>
      <c r="D354" s="62"/>
    </row>
    <row r="355" spans="1:4" ht="12.75">
      <c r="A355" s="62"/>
      <c r="B355" s="62"/>
      <c r="D355" s="62"/>
    </row>
    <row r="356" spans="1:4" ht="12.75">
      <c r="A356" s="62"/>
      <c r="B356" s="62"/>
      <c r="D356" s="62"/>
    </row>
    <row r="357" spans="1:4" ht="12.75">
      <c r="A357" s="62"/>
      <c r="B357" s="62"/>
      <c r="D357" s="62"/>
    </row>
    <row r="358" spans="1:4" ht="12.75">
      <c r="A358" s="62"/>
      <c r="B358" s="62"/>
      <c r="D358" s="62"/>
    </row>
    <row r="359" spans="1:4" ht="12.75">
      <c r="A359" s="62"/>
      <c r="B359" s="62"/>
      <c r="D359" s="62"/>
    </row>
    <row r="360" spans="1:4" ht="12.75">
      <c r="A360" s="62"/>
      <c r="B360" s="62"/>
      <c r="D360" s="62"/>
    </row>
    <row r="361" spans="1:4" ht="12.75">
      <c r="A361" s="62"/>
      <c r="B361" s="62"/>
      <c r="D361" s="62"/>
    </row>
    <row r="362" spans="1:4" ht="12.75">
      <c r="A362" s="62"/>
      <c r="B362" s="62"/>
      <c r="D362" s="62"/>
    </row>
    <row r="363" spans="1:4" ht="12.75">
      <c r="A363" s="62"/>
      <c r="B363" s="62"/>
      <c r="D363" s="62"/>
    </row>
    <row r="364" spans="1:4" ht="12.75">
      <c r="A364" s="62"/>
      <c r="B364" s="62"/>
      <c r="D364" s="62"/>
    </row>
    <row r="365" spans="1:4" ht="12.75">
      <c r="A365" s="62"/>
      <c r="B365" s="62"/>
      <c r="D365" s="62"/>
    </row>
    <row r="366" spans="1:4" ht="12.75">
      <c r="A366" s="62"/>
      <c r="B366" s="62"/>
      <c r="D366" s="62"/>
    </row>
    <row r="367" spans="1:4" ht="12.75">
      <c r="A367" s="62"/>
      <c r="B367" s="62"/>
      <c r="D367" s="62"/>
    </row>
    <row r="368" spans="1:4" ht="12.75">
      <c r="A368" s="62"/>
      <c r="B368" s="62"/>
      <c r="D368" s="62"/>
    </row>
    <row r="369" spans="1:4" ht="12.75">
      <c r="A369" s="62"/>
      <c r="B369" s="62"/>
      <c r="D369" s="62"/>
    </row>
    <row r="370" spans="1:4" ht="12.75">
      <c r="A370" s="62"/>
      <c r="B370" s="62"/>
      <c r="D370" s="62"/>
    </row>
    <row r="371" spans="1:4" ht="12.75">
      <c r="A371" s="62"/>
      <c r="B371" s="62"/>
      <c r="D371" s="62"/>
    </row>
    <row r="372" spans="1:4" ht="12.75">
      <c r="A372" s="62"/>
      <c r="B372" s="62"/>
      <c r="D372" s="62"/>
    </row>
    <row r="373" spans="1:4" ht="12.75">
      <c r="A373" s="62"/>
      <c r="B373" s="62"/>
      <c r="D373" s="62"/>
    </row>
    <row r="374" spans="1:4" ht="12.75">
      <c r="A374" s="62"/>
      <c r="B374" s="62"/>
      <c r="D374" s="62"/>
    </row>
    <row r="375" spans="1:4" ht="12.75">
      <c r="A375" s="62"/>
      <c r="B375" s="62"/>
      <c r="D375" s="62"/>
    </row>
    <row r="376" spans="1:4" ht="12.75">
      <c r="A376" s="62"/>
      <c r="B376" s="62"/>
      <c r="D376" s="62"/>
    </row>
    <row r="377" spans="1:4" ht="12.75">
      <c r="A377" s="62"/>
      <c r="B377" s="62"/>
      <c r="D377" s="62"/>
    </row>
    <row r="378" spans="1:4" ht="12.75">
      <c r="A378" s="62"/>
      <c r="B378" s="62"/>
      <c r="D378" s="62"/>
    </row>
    <row r="379" spans="1:4" ht="12.75">
      <c r="A379" s="62"/>
      <c r="B379" s="62"/>
      <c r="D379" s="62"/>
    </row>
    <row r="380" spans="1:4" ht="12.75">
      <c r="A380" s="62"/>
      <c r="B380" s="62"/>
      <c r="D380" s="62"/>
    </row>
    <row r="381" spans="1:4" ht="12.75">
      <c r="A381" s="62"/>
      <c r="B381" s="62"/>
      <c r="D381" s="62"/>
    </row>
    <row r="382" spans="1:4" ht="12.75">
      <c r="A382" s="62"/>
      <c r="B382" s="62"/>
      <c r="D382" s="62"/>
    </row>
    <row r="383" spans="1:4" ht="12.75">
      <c r="A383" s="62"/>
      <c r="B383" s="62"/>
      <c r="D383" s="62"/>
    </row>
    <row r="384" spans="1:4" ht="12.75">
      <c r="A384" s="62"/>
      <c r="B384" s="62"/>
      <c r="D384" s="62"/>
    </row>
    <row r="385" spans="1:4" ht="12.75">
      <c r="A385" s="62"/>
      <c r="B385" s="62"/>
      <c r="D385" s="62"/>
    </row>
    <row r="386" spans="1:4" ht="12.75">
      <c r="A386" s="62"/>
      <c r="B386" s="62"/>
      <c r="D386" s="62"/>
    </row>
    <row r="387" spans="1:4" ht="12.75">
      <c r="A387" s="62"/>
      <c r="B387" s="62"/>
      <c r="D387" s="62"/>
    </row>
    <row r="388" spans="1:4" ht="12.75">
      <c r="A388" s="62"/>
      <c r="B388" s="62"/>
      <c r="D388" s="62"/>
    </row>
    <row r="389" spans="1:4" ht="12.75">
      <c r="A389" s="62"/>
      <c r="B389" s="62"/>
      <c r="D389" s="62"/>
    </row>
    <row r="390" spans="1:4" ht="12.75">
      <c r="A390" s="62"/>
      <c r="B390" s="62"/>
      <c r="D390" s="62"/>
    </row>
    <row r="391" spans="1:4" ht="12.75">
      <c r="A391" s="62"/>
      <c r="B391" s="62"/>
      <c r="D391" s="62"/>
    </row>
    <row r="392" spans="1:4" ht="12.75">
      <c r="A392" s="62"/>
      <c r="B392" s="62"/>
      <c r="D392" s="62"/>
    </row>
    <row r="393" spans="1:4" ht="12.75">
      <c r="A393" s="62"/>
      <c r="B393" s="62"/>
      <c r="D393" s="62"/>
    </row>
    <row r="394" spans="1:4" ht="12.75">
      <c r="A394" s="62"/>
      <c r="B394" s="62"/>
      <c r="D394" s="62"/>
    </row>
    <row r="395" spans="1:4" ht="12.75">
      <c r="A395" s="62"/>
      <c r="B395" s="62"/>
      <c r="D395" s="62"/>
    </row>
    <row r="396" spans="1:4" ht="12.75">
      <c r="A396" s="62"/>
      <c r="B396" s="62"/>
      <c r="D396" s="62"/>
    </row>
    <row r="397" spans="1:4" ht="12.75">
      <c r="A397" s="62"/>
      <c r="B397" s="62"/>
      <c r="D397" s="62"/>
    </row>
    <row r="398" spans="1:4" ht="12.75">
      <c r="A398" s="62"/>
      <c r="B398" s="62"/>
      <c r="D398" s="62"/>
    </row>
    <row r="399" spans="1:4" ht="12.75">
      <c r="A399" s="62"/>
      <c r="B399" s="62"/>
      <c r="D399" s="62"/>
    </row>
    <row r="400" spans="1:4" ht="12.75">
      <c r="A400" s="62"/>
      <c r="B400" s="62"/>
      <c r="D400" s="62"/>
    </row>
    <row r="401" spans="1:4" ht="12.75">
      <c r="A401" s="62"/>
      <c r="B401" s="62"/>
      <c r="D401" s="62"/>
    </row>
    <row r="402" spans="1:4" ht="12.75">
      <c r="A402" s="62"/>
      <c r="B402" s="62"/>
      <c r="D402" s="62"/>
    </row>
    <row r="403" spans="1:4" ht="12.75">
      <c r="A403" s="62"/>
      <c r="B403" s="62"/>
      <c r="D403" s="62"/>
    </row>
    <row r="404" spans="1:4" ht="12.75">
      <c r="A404" s="62"/>
      <c r="B404" s="62"/>
      <c r="D404" s="62"/>
    </row>
    <row r="405" spans="1:4" ht="12.75">
      <c r="A405" s="62"/>
      <c r="B405" s="62"/>
      <c r="D405" s="62"/>
    </row>
    <row r="406" spans="1:4" ht="12.75">
      <c r="A406" s="62"/>
      <c r="B406" s="62"/>
      <c r="D406" s="62"/>
    </row>
    <row r="407" spans="1:4" ht="12.75">
      <c r="A407" s="62"/>
      <c r="B407" s="62"/>
      <c r="D407" s="62"/>
    </row>
    <row r="408" spans="1:4" ht="12.75">
      <c r="A408" s="62"/>
      <c r="B408" s="62"/>
      <c r="D408" s="62"/>
    </row>
    <row r="409" spans="1:4" ht="12.75">
      <c r="A409" s="62"/>
      <c r="B409" s="62"/>
      <c r="D409" s="62"/>
    </row>
    <row r="410" spans="1:4" ht="12.75">
      <c r="A410" s="62"/>
      <c r="B410" s="62"/>
      <c r="D410" s="62"/>
    </row>
    <row r="411" spans="1:4" ht="12.75">
      <c r="A411" s="62"/>
      <c r="B411" s="62"/>
      <c r="D411" s="62"/>
    </row>
    <row r="412" spans="1:4" ht="12.75">
      <c r="A412" s="62"/>
      <c r="B412" s="62"/>
      <c r="D412" s="62"/>
    </row>
    <row r="413" spans="1:4" ht="12.75">
      <c r="A413" s="62"/>
      <c r="B413" s="62"/>
      <c r="D413" s="62"/>
    </row>
    <row r="414" spans="1:4" ht="12.75">
      <c r="A414" s="62"/>
      <c r="B414" s="62"/>
      <c r="D414" s="62"/>
    </row>
    <row r="415" spans="1:4" ht="12.75">
      <c r="A415" s="62"/>
      <c r="B415" s="62"/>
      <c r="D415" s="62"/>
    </row>
    <row r="416" spans="1:4" ht="12.75">
      <c r="A416" s="62"/>
      <c r="B416" s="62"/>
      <c r="D416" s="62"/>
    </row>
    <row r="417" spans="1:4" ht="12.75">
      <c r="A417" s="62"/>
      <c r="B417" s="62"/>
      <c r="D417" s="62"/>
    </row>
    <row r="418" spans="1:4" ht="12.75">
      <c r="A418" s="62"/>
      <c r="B418" s="62"/>
      <c r="D418" s="62"/>
    </row>
    <row r="419" spans="1:4" ht="12.75">
      <c r="A419" s="62"/>
      <c r="B419" s="62"/>
      <c r="D419" s="62"/>
    </row>
    <row r="420" spans="1:4" ht="12.75">
      <c r="A420" s="62"/>
      <c r="B420" s="62"/>
      <c r="D420" s="62"/>
    </row>
    <row r="421" spans="1:4" ht="12.75">
      <c r="A421" s="62"/>
      <c r="B421" s="62"/>
      <c r="D421" s="62"/>
    </row>
    <row r="422" spans="1:4" ht="12.75">
      <c r="A422" s="62"/>
      <c r="B422" s="62"/>
      <c r="D422" s="62"/>
    </row>
    <row r="423" spans="1:4" ht="12.75">
      <c r="A423" s="62"/>
      <c r="B423" s="62"/>
      <c r="D423" s="62"/>
    </row>
    <row r="424" spans="1:4" ht="12.75">
      <c r="A424" s="62"/>
      <c r="B424" s="62"/>
      <c r="D424" s="62"/>
    </row>
    <row r="425" spans="1:4" ht="12.75">
      <c r="A425" s="62"/>
      <c r="B425" s="62"/>
      <c r="D425" s="62"/>
    </row>
    <row r="426" spans="1:4" ht="12.75">
      <c r="A426" s="62"/>
      <c r="B426" s="62"/>
      <c r="D426" s="62"/>
    </row>
    <row r="427" spans="1:4" ht="12.75">
      <c r="A427" s="62"/>
      <c r="B427" s="62"/>
      <c r="D427" s="62"/>
    </row>
    <row r="428" spans="1:4" ht="12.75">
      <c r="A428" s="62"/>
      <c r="B428" s="62"/>
      <c r="D428" s="62"/>
    </row>
    <row r="429" spans="1:4" ht="12.75">
      <c r="A429" s="62"/>
      <c r="B429" s="62"/>
      <c r="D429" s="62"/>
    </row>
    <row r="430" spans="1:4" ht="12.75">
      <c r="A430" s="62"/>
      <c r="B430" s="62"/>
      <c r="D430" s="62"/>
    </row>
    <row r="431" spans="1:4" ht="12.75">
      <c r="A431" s="62"/>
      <c r="B431" s="62"/>
      <c r="D431" s="62"/>
    </row>
    <row r="432" spans="1:4" ht="12.75">
      <c r="A432" s="62"/>
      <c r="B432" s="62"/>
      <c r="D432" s="62"/>
    </row>
    <row r="433" spans="1:4" ht="12.75">
      <c r="A433" s="62"/>
      <c r="B433" s="62"/>
      <c r="D433" s="62"/>
    </row>
    <row r="434" spans="1:4" ht="12.75">
      <c r="A434" s="62"/>
      <c r="B434" s="62"/>
      <c r="D434" s="62"/>
    </row>
    <row r="435" spans="1:4" ht="12.75">
      <c r="A435" s="62"/>
      <c r="B435" s="62"/>
      <c r="D435" s="62"/>
    </row>
    <row r="436" spans="1:4" ht="12.75">
      <c r="A436" s="62"/>
      <c r="B436" s="62"/>
      <c r="D436" s="62"/>
    </row>
    <row r="437" spans="1:4" ht="12.75">
      <c r="A437" s="62"/>
      <c r="B437" s="62"/>
      <c r="D437" s="62"/>
    </row>
    <row r="438" spans="1:4" ht="12.75">
      <c r="A438" s="62"/>
      <c r="B438" s="62"/>
      <c r="D438" s="62"/>
    </row>
    <row r="439" spans="1:4" ht="12.75">
      <c r="A439" s="62"/>
      <c r="B439" s="62"/>
      <c r="D439" s="62"/>
    </row>
    <row r="440" spans="1:4" ht="12.75">
      <c r="A440" s="62"/>
      <c r="B440" s="62"/>
      <c r="D440" s="62"/>
    </row>
    <row r="441" spans="1:4" ht="12.75">
      <c r="A441" s="62"/>
      <c r="B441" s="62"/>
      <c r="D441" s="62"/>
    </row>
    <row r="442" spans="1:4" ht="12.75">
      <c r="A442" s="62"/>
      <c r="B442" s="62"/>
      <c r="D442" s="62"/>
    </row>
    <row r="443" spans="1:4" ht="12.75">
      <c r="A443" s="62"/>
      <c r="B443" s="62"/>
      <c r="D443" s="62"/>
    </row>
    <row r="444" spans="1:4" ht="12.75">
      <c r="A444" s="62"/>
      <c r="B444" s="62"/>
      <c r="D444" s="62"/>
    </row>
    <row r="445" spans="2:4" ht="12.75">
      <c r="B445" s="62"/>
      <c r="D445" s="62"/>
    </row>
  </sheetData>
  <sheetProtection/>
  <printOptions horizontalCentered="1"/>
  <pageMargins left="0.25" right="0" top="0.7875" bottom="0.7875" header="0.5" footer="0.5"/>
  <pageSetup horizontalDpi="600" verticalDpi="600" orientation="landscape" paperSize="5" scale="75" r:id="rId1"/>
  <rowBreaks count="4" manualBreakCount="4">
    <brk id="35" max="10" man="1"/>
    <brk id="62" max="10" man="1"/>
    <brk id="155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45"/>
  <sheetViews>
    <sheetView zoomScalePageLayoutView="0" workbookViewId="0" topLeftCell="A61">
      <selection activeCell="E96" sqref="E96"/>
    </sheetView>
  </sheetViews>
  <sheetFormatPr defaultColWidth="9.00390625" defaultRowHeight="12.75"/>
  <cols>
    <col min="1" max="1" width="29.00390625" style="1" customWidth="1"/>
    <col min="2" max="3" width="13.28125" style="1" customWidth="1"/>
    <col min="4" max="4" width="12.7109375" style="1" customWidth="1"/>
    <col min="5" max="5" width="12.57421875" style="1" customWidth="1"/>
    <col min="6" max="6" width="10.8515625" style="1" customWidth="1"/>
    <col min="7" max="7" width="11.57421875" style="1" customWidth="1"/>
    <col min="8" max="8" width="11.28125" style="1" customWidth="1"/>
    <col min="9" max="9" width="12.421875" style="1" customWidth="1"/>
    <col min="10" max="10" width="11.57421875" style="1" customWidth="1"/>
    <col min="11" max="11" width="10.28125" style="1" customWidth="1"/>
    <col min="12" max="12" width="11.140625" style="1" customWidth="1"/>
    <col min="13" max="13" width="16.421875" style="1" customWidth="1"/>
    <col min="14" max="16384" width="9.00390625" style="1" customWidth="1"/>
  </cols>
  <sheetData>
    <row r="1" ht="12.75">
      <c r="C1" s="65" t="s">
        <v>84</v>
      </c>
    </row>
    <row r="2" ht="12.75">
      <c r="C2" s="65" t="s">
        <v>85</v>
      </c>
    </row>
    <row r="5" spans="4:5" ht="12.75">
      <c r="D5" s="65"/>
      <c r="E5" s="41" t="s">
        <v>86</v>
      </c>
    </row>
    <row r="6" spans="1:4" ht="12.75">
      <c r="A6" s="23"/>
      <c r="B6" s="23"/>
      <c r="C6" s="23" t="s">
        <v>104</v>
      </c>
      <c r="D6" s="23"/>
    </row>
    <row r="7" ht="12" customHeight="1">
      <c r="D7" s="65" t="s">
        <v>83</v>
      </c>
    </row>
    <row r="8" spans="4:5" ht="12" customHeight="1">
      <c r="D8" s="65"/>
      <c r="E8" s="41" t="s">
        <v>153</v>
      </c>
    </row>
    <row r="9" ht="12" customHeight="1">
      <c r="D9" s="65"/>
    </row>
    <row r="10" ht="12.75">
      <c r="E10" s="23" t="s">
        <v>56</v>
      </c>
    </row>
    <row r="11" spans="1:11" ht="13.5" thickBot="1">
      <c r="A11" s="66"/>
      <c r="B11" s="66"/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 thickBot="1">
      <c r="A12" s="68"/>
      <c r="B12" s="68"/>
      <c r="C12" s="69" t="s">
        <v>88</v>
      </c>
      <c r="D12" s="68" t="s">
        <v>90</v>
      </c>
      <c r="E12" s="69" t="s">
        <v>92</v>
      </c>
      <c r="F12" s="70" t="s">
        <v>88</v>
      </c>
      <c r="G12" s="71" t="s">
        <v>95</v>
      </c>
      <c r="H12" s="72" t="s">
        <v>88</v>
      </c>
      <c r="I12" s="72" t="s">
        <v>98</v>
      </c>
      <c r="J12" s="72" t="s">
        <v>100</v>
      </c>
      <c r="K12" s="72" t="s">
        <v>102</v>
      </c>
    </row>
    <row r="13" spans="1:11" ht="13.5" thickBot="1">
      <c r="A13" s="86" t="s">
        <v>87</v>
      </c>
      <c r="B13" s="73" t="s">
        <v>7</v>
      </c>
      <c r="C13" s="74" t="s">
        <v>89</v>
      </c>
      <c r="D13" s="73" t="s">
        <v>91</v>
      </c>
      <c r="E13" s="74" t="s">
        <v>93</v>
      </c>
      <c r="F13" s="75" t="s">
        <v>94</v>
      </c>
      <c r="G13" s="76" t="s">
        <v>96</v>
      </c>
      <c r="H13" s="77" t="s">
        <v>97</v>
      </c>
      <c r="I13" s="77" t="s">
        <v>99</v>
      </c>
      <c r="J13" s="77" t="s">
        <v>101</v>
      </c>
      <c r="K13" s="77" t="s">
        <v>103</v>
      </c>
    </row>
    <row r="14" spans="1:13" ht="12.75">
      <c r="A14" s="87" t="s">
        <v>112</v>
      </c>
      <c r="B14" s="88"/>
      <c r="C14" s="57"/>
      <c r="D14" s="89"/>
      <c r="E14" s="89"/>
      <c r="F14" s="57"/>
      <c r="G14" s="89"/>
      <c r="H14" s="57"/>
      <c r="I14" s="89"/>
      <c r="J14" s="57"/>
      <c r="K14" s="89"/>
      <c r="L14" s="62"/>
      <c r="M14" s="62"/>
    </row>
    <row r="15" spans="1:13" ht="12.75">
      <c r="A15" s="88"/>
      <c r="B15" s="88"/>
      <c r="C15" s="57"/>
      <c r="D15" s="88"/>
      <c r="E15" s="88"/>
      <c r="F15" s="57"/>
      <c r="G15" s="88"/>
      <c r="H15" s="57"/>
      <c r="I15" s="88"/>
      <c r="J15" s="57"/>
      <c r="K15" s="88"/>
      <c r="L15" s="62"/>
      <c r="M15" s="62"/>
    </row>
    <row r="16" spans="1:13" ht="12.75">
      <c r="A16" s="88" t="s">
        <v>105</v>
      </c>
      <c r="B16" s="88">
        <f>SUM(C16:K16)</f>
        <v>1443572.66</v>
      </c>
      <c r="C16" s="57">
        <f>200000+100000+100000</f>
        <v>400000</v>
      </c>
      <c r="D16" s="88">
        <f>170000+40000</f>
        <v>210000</v>
      </c>
      <c r="E16" s="88">
        <f>81771.98+25000</f>
        <v>106771.98</v>
      </c>
      <c r="F16" s="57">
        <f>53571.95</f>
        <v>53571.95</v>
      </c>
      <c r="G16" s="88">
        <f>89374.82+10000+10000</f>
        <v>109374.82</v>
      </c>
      <c r="H16" s="57">
        <f>30000+24875</f>
        <v>54875</v>
      </c>
      <c r="I16" s="88">
        <f>286117.73+2861.18</f>
        <v>288978.91</v>
      </c>
      <c r="J16" s="57">
        <f>55000+50000+40000</f>
        <v>145000</v>
      </c>
      <c r="K16" s="88">
        <f>75000</f>
        <v>75000</v>
      </c>
      <c r="L16" s="62"/>
      <c r="M16" s="62"/>
    </row>
    <row r="17" spans="1:13" ht="12.75">
      <c r="A17" s="88" t="s">
        <v>125</v>
      </c>
      <c r="B17" s="88"/>
      <c r="C17" s="57"/>
      <c r="D17" s="88"/>
      <c r="E17" s="88"/>
      <c r="F17" s="57"/>
      <c r="G17" s="88"/>
      <c r="H17" s="57"/>
      <c r="I17" s="88"/>
      <c r="J17" s="57"/>
      <c r="K17" s="88"/>
      <c r="L17" s="62"/>
      <c r="M17" s="62"/>
    </row>
    <row r="18" spans="1:13" ht="12.75">
      <c r="A18" s="88" t="s">
        <v>126</v>
      </c>
      <c r="B18" s="88"/>
      <c r="C18" s="57"/>
      <c r="D18" s="88"/>
      <c r="E18" s="88"/>
      <c r="F18" s="57"/>
      <c r="G18" s="88"/>
      <c r="H18" s="57"/>
      <c r="I18" s="88"/>
      <c r="J18" s="57"/>
      <c r="K18" s="88"/>
      <c r="L18" s="62"/>
      <c r="M18" s="62"/>
    </row>
    <row r="19" spans="1:13" ht="12.75">
      <c r="A19" s="88" t="s">
        <v>132</v>
      </c>
      <c r="B19" s="88"/>
      <c r="C19" s="57"/>
      <c r="D19" s="88"/>
      <c r="E19" s="88"/>
      <c r="F19" s="57"/>
      <c r="G19" s="88"/>
      <c r="H19" s="57"/>
      <c r="I19" s="88"/>
      <c r="J19" s="57"/>
      <c r="K19" s="88"/>
      <c r="L19" s="62"/>
      <c r="M19" s="62"/>
    </row>
    <row r="20" spans="1:13" ht="12.75">
      <c r="A20" s="88" t="s">
        <v>127</v>
      </c>
      <c r="B20" s="88"/>
      <c r="C20" s="57"/>
      <c r="D20" s="88"/>
      <c r="E20" s="88"/>
      <c r="F20" s="57"/>
      <c r="G20" s="88"/>
      <c r="H20" s="57"/>
      <c r="I20" s="88"/>
      <c r="J20" s="57"/>
      <c r="K20" s="88"/>
      <c r="L20" s="62"/>
      <c r="M20" s="62"/>
    </row>
    <row r="21" spans="1:13" ht="12.75">
      <c r="A21" s="88" t="s">
        <v>106</v>
      </c>
      <c r="B21" s="88">
        <f aca="true" t="shared" si="0" ref="B21:B30">SUM(C21:K21)</f>
        <v>1572671.4699999997</v>
      </c>
      <c r="C21" s="57">
        <f>283016.64+100000+100000</f>
        <v>483016.64</v>
      </c>
      <c r="D21" s="88">
        <f>140000+40000</f>
        <v>180000</v>
      </c>
      <c r="E21" s="88">
        <f>50000+25000</f>
        <v>75000</v>
      </c>
      <c r="F21" s="57">
        <f>40000+10000</f>
        <v>50000</v>
      </c>
      <c r="G21" s="88">
        <f>44000+15000</f>
        <v>59000</v>
      </c>
      <c r="H21" s="57">
        <f>30956.73+34463.82</f>
        <v>65420.55</v>
      </c>
      <c r="I21" s="88">
        <f>286117.73+2861.18+303576.47</f>
        <v>592555.3799999999</v>
      </c>
      <c r="J21" s="57">
        <f>45000</f>
        <v>45000</v>
      </c>
      <c r="K21" s="88">
        <f>22678.9</f>
        <v>22678.9</v>
      </c>
      <c r="L21" s="62"/>
      <c r="M21" s="62"/>
    </row>
    <row r="22" spans="1:13" ht="12.75">
      <c r="A22" s="88" t="s">
        <v>131</v>
      </c>
      <c r="B22" s="88">
        <f t="shared" si="0"/>
        <v>2604542.85</v>
      </c>
      <c r="C22" s="57">
        <f>188677.76+188677.76-1.23</f>
        <v>377354.29000000004</v>
      </c>
      <c r="D22" s="88">
        <v>267356.64</v>
      </c>
      <c r="E22" s="88">
        <f>50000+64560.94</f>
        <v>114560.94</v>
      </c>
      <c r="F22" s="57">
        <f>5000+198570.91</f>
        <v>203570.91</v>
      </c>
      <c r="G22" s="88">
        <f>31000+5000+10000</f>
        <v>46000</v>
      </c>
      <c r="H22" s="57">
        <f>20875</f>
        <v>20875</v>
      </c>
      <c r="I22" s="88">
        <f>398009.6+841186.11+3576.47</f>
        <v>1242772.18</v>
      </c>
      <c r="J22" s="57">
        <f>192052.89+40000</f>
        <v>232052.89</v>
      </c>
      <c r="K22" s="88">
        <f>50000+25000+25000</f>
        <v>100000</v>
      </c>
      <c r="L22" s="62"/>
      <c r="M22" s="62"/>
    </row>
    <row r="23" spans="1:13" ht="12.75">
      <c r="A23" s="88" t="s">
        <v>107</v>
      </c>
      <c r="B23" s="88">
        <f>SUM(C23:K23)</f>
        <v>550451.47</v>
      </c>
      <c r="C23" s="57">
        <f>100000</f>
        <v>100000</v>
      </c>
      <c r="D23" s="88"/>
      <c r="E23" s="88">
        <f>50000</f>
        <v>50000</v>
      </c>
      <c r="F23" s="57"/>
      <c r="G23" s="88">
        <f>150000+5000+45000</f>
        <v>200000</v>
      </c>
      <c r="H23" s="57">
        <f>112000+34875</f>
        <v>146875</v>
      </c>
      <c r="I23" s="88">
        <f>3576.47</f>
        <v>3576.47</v>
      </c>
      <c r="J23" s="57">
        <f>20000+20000+10000</f>
        <v>50000</v>
      </c>
      <c r="K23" s="88"/>
      <c r="L23" s="62"/>
      <c r="M23" s="62"/>
    </row>
    <row r="24" spans="1:13" ht="12.75">
      <c r="A24" s="88" t="s">
        <v>138</v>
      </c>
      <c r="B24" s="88"/>
      <c r="C24" s="57"/>
      <c r="D24" s="88"/>
      <c r="E24" s="88"/>
      <c r="F24" s="57"/>
      <c r="G24" s="88"/>
      <c r="H24" s="57"/>
      <c r="I24" s="88"/>
      <c r="J24" s="57"/>
      <c r="K24" s="88"/>
      <c r="L24" s="62"/>
      <c r="M24" s="62"/>
    </row>
    <row r="25" spans="1:13" ht="13.5" thickBot="1">
      <c r="A25" s="88" t="s">
        <v>108</v>
      </c>
      <c r="B25" s="90">
        <f t="shared" si="0"/>
        <v>1286629.25</v>
      </c>
      <c r="C25" s="91">
        <f>34383.74</f>
        <v>34383.74</v>
      </c>
      <c r="D25" s="90">
        <f>380309+40000</f>
        <v>420309</v>
      </c>
      <c r="E25" s="90"/>
      <c r="F25" s="91">
        <f>5000</f>
        <v>5000</v>
      </c>
      <c r="G25" s="90">
        <f>20000+50000</f>
        <v>70000</v>
      </c>
      <c r="H25" s="91">
        <f>136000+114446.98</f>
        <v>250446.97999999998</v>
      </c>
      <c r="I25" s="90"/>
      <c r="J25" s="91">
        <f>58942</f>
        <v>58942</v>
      </c>
      <c r="K25" s="90">
        <f>15547.53+432000</f>
        <v>447547.53</v>
      </c>
      <c r="L25" s="62"/>
      <c r="M25" s="62"/>
    </row>
    <row r="26" spans="1:13" ht="13.5" thickBot="1">
      <c r="A26" s="88" t="s">
        <v>109</v>
      </c>
      <c r="B26" s="92">
        <f>SUM(B16:B25)</f>
        <v>7457867.7</v>
      </c>
      <c r="C26" s="92">
        <f aca="true" t="shared" si="1" ref="C26:K26">SUM(C16:C25)</f>
        <v>1394754.6700000002</v>
      </c>
      <c r="D26" s="92">
        <f t="shared" si="1"/>
        <v>1077665.6400000001</v>
      </c>
      <c r="E26" s="92">
        <f t="shared" si="1"/>
        <v>346332.92</v>
      </c>
      <c r="F26" s="92">
        <f t="shared" si="1"/>
        <v>312142.86</v>
      </c>
      <c r="G26" s="92">
        <f t="shared" si="1"/>
        <v>484374.82</v>
      </c>
      <c r="H26" s="92">
        <f t="shared" si="1"/>
        <v>538492.53</v>
      </c>
      <c r="I26" s="92">
        <f t="shared" si="1"/>
        <v>2127882.94</v>
      </c>
      <c r="J26" s="92">
        <f t="shared" si="1"/>
        <v>530994.89</v>
      </c>
      <c r="K26" s="92">
        <f t="shared" si="1"/>
        <v>645226.43</v>
      </c>
      <c r="L26" s="62"/>
      <c r="M26" s="62"/>
    </row>
    <row r="27" spans="1:13" ht="12.75">
      <c r="A27" s="88"/>
      <c r="B27" s="88"/>
      <c r="C27" s="57"/>
      <c r="D27" s="88"/>
      <c r="E27" s="88"/>
      <c r="F27" s="57"/>
      <c r="G27" s="88"/>
      <c r="H27" s="57"/>
      <c r="I27" s="88"/>
      <c r="J27" s="57"/>
      <c r="K27" s="88"/>
      <c r="L27" s="62"/>
      <c r="M27" s="62"/>
    </row>
    <row r="28" spans="1:13" ht="12.75">
      <c r="A28" s="87" t="s">
        <v>113</v>
      </c>
      <c r="B28" s="88"/>
      <c r="C28" s="57"/>
      <c r="D28" s="88"/>
      <c r="E28" s="88"/>
      <c r="F28" s="57"/>
      <c r="G28" s="88"/>
      <c r="H28" s="57"/>
      <c r="I28" s="88"/>
      <c r="J28" s="57"/>
      <c r="K28" s="88"/>
      <c r="L28" s="62"/>
      <c r="M28" s="62"/>
    </row>
    <row r="29" spans="1:13" ht="12.75">
      <c r="A29" s="88"/>
      <c r="B29" s="88">
        <f t="shared" si="0"/>
        <v>0</v>
      </c>
      <c r="C29" s="57"/>
      <c r="D29" s="88"/>
      <c r="E29" s="88"/>
      <c r="F29" s="57"/>
      <c r="G29" s="88"/>
      <c r="H29" s="57"/>
      <c r="I29" s="88"/>
      <c r="J29" s="57"/>
      <c r="K29" s="88"/>
      <c r="L29" s="62"/>
      <c r="M29" s="62"/>
    </row>
    <row r="30" spans="1:13" ht="12.75">
      <c r="A30" s="88" t="s">
        <v>110</v>
      </c>
      <c r="B30" s="88">
        <f t="shared" si="0"/>
        <v>0</v>
      </c>
      <c r="C30" s="57"/>
      <c r="D30" s="88"/>
      <c r="E30" s="88"/>
      <c r="F30" s="57"/>
      <c r="G30" s="88"/>
      <c r="H30" s="57"/>
      <c r="I30" s="88"/>
      <c r="J30" s="57"/>
      <c r="K30" s="88"/>
      <c r="L30" s="62"/>
      <c r="M30" s="62"/>
    </row>
    <row r="31" spans="1:13" ht="13.5" thickBot="1">
      <c r="A31" s="88" t="s">
        <v>111</v>
      </c>
      <c r="B31" s="90">
        <f>SUM(C31:K31)</f>
        <v>3757844</v>
      </c>
      <c r="C31" s="91">
        <f>583016.64-1.09</f>
        <v>583015.55</v>
      </c>
      <c r="D31" s="90">
        <f>166593+1050000</f>
        <v>1216593</v>
      </c>
      <c r="E31" s="90"/>
      <c r="F31" s="91"/>
      <c r="G31" s="90">
        <v>438000</v>
      </c>
      <c r="H31" s="91">
        <v>610000</v>
      </c>
      <c r="I31" s="90">
        <v>590235.45</v>
      </c>
      <c r="J31" s="91"/>
      <c r="K31" s="90">
        <v>320000</v>
      </c>
      <c r="L31" s="62"/>
      <c r="M31" s="62"/>
    </row>
    <row r="32" spans="1:13" ht="13.5" thickBot="1">
      <c r="A32" s="88" t="s">
        <v>114</v>
      </c>
      <c r="B32" s="92">
        <f>SUM(B29:B31)</f>
        <v>3757844</v>
      </c>
      <c r="C32" s="92">
        <f aca="true" t="shared" si="2" ref="C32:K32">SUM(C29:C31)</f>
        <v>583015.55</v>
      </c>
      <c r="D32" s="92">
        <f t="shared" si="2"/>
        <v>1216593</v>
      </c>
      <c r="E32" s="92">
        <f t="shared" si="2"/>
        <v>0</v>
      </c>
      <c r="F32" s="92">
        <f t="shared" si="2"/>
        <v>0</v>
      </c>
      <c r="G32" s="92">
        <f t="shared" si="2"/>
        <v>438000</v>
      </c>
      <c r="H32" s="92">
        <f t="shared" si="2"/>
        <v>610000</v>
      </c>
      <c r="I32" s="92">
        <f t="shared" si="2"/>
        <v>590235.45</v>
      </c>
      <c r="J32" s="92">
        <f t="shared" si="2"/>
        <v>0</v>
      </c>
      <c r="K32" s="92">
        <f t="shared" si="2"/>
        <v>320000</v>
      </c>
      <c r="L32" s="62"/>
      <c r="M32" s="62"/>
    </row>
    <row r="33" spans="1:13" ht="13.5" thickBot="1">
      <c r="A33" s="90"/>
      <c r="B33" s="90"/>
      <c r="C33" s="91"/>
      <c r="D33" s="90"/>
      <c r="E33" s="90"/>
      <c r="F33" s="91"/>
      <c r="G33" s="90"/>
      <c r="H33" s="91"/>
      <c r="I33" s="90"/>
      <c r="J33" s="91"/>
      <c r="K33" s="90"/>
      <c r="L33" s="62"/>
      <c r="M33" s="62"/>
    </row>
    <row r="34" spans="1:13" ht="13.5" thickBot="1">
      <c r="A34" s="90" t="s">
        <v>79</v>
      </c>
      <c r="B34" s="91">
        <f>SUM(B32+B26)</f>
        <v>11215711.7</v>
      </c>
      <c r="C34" s="92">
        <f aca="true" t="shared" si="3" ref="C34:K34">SUM(C32+C26)</f>
        <v>1977770.2200000002</v>
      </c>
      <c r="D34" s="91">
        <f t="shared" si="3"/>
        <v>2294258.64</v>
      </c>
      <c r="E34" s="92">
        <f t="shared" si="3"/>
        <v>346332.92</v>
      </c>
      <c r="F34" s="91">
        <f t="shared" si="3"/>
        <v>312142.86</v>
      </c>
      <c r="G34" s="92">
        <f t="shared" si="3"/>
        <v>922374.8200000001</v>
      </c>
      <c r="H34" s="91">
        <f t="shared" si="3"/>
        <v>1148492.53</v>
      </c>
      <c r="I34" s="92">
        <f t="shared" si="3"/>
        <v>2718118.3899999997</v>
      </c>
      <c r="J34" s="91">
        <f t="shared" si="3"/>
        <v>530994.89</v>
      </c>
      <c r="K34" s="92">
        <f t="shared" si="3"/>
        <v>965226.43</v>
      </c>
      <c r="L34" s="62"/>
      <c r="M34" s="62"/>
    </row>
    <row r="35" spans="1:13" ht="12.75">
      <c r="A35" s="57"/>
      <c r="B35" s="57"/>
      <c r="C35" s="60"/>
      <c r="D35" s="57"/>
      <c r="E35" s="60"/>
      <c r="F35" s="60"/>
      <c r="G35" s="60"/>
      <c r="H35" s="60"/>
      <c r="I35" s="60"/>
      <c r="J35" s="60"/>
      <c r="K35" s="60"/>
      <c r="L35" s="62"/>
      <c r="M35" s="62"/>
    </row>
    <row r="36" spans="1:13" ht="12.75">
      <c r="A36" s="57"/>
      <c r="B36" s="57"/>
      <c r="C36" s="60"/>
      <c r="D36" s="57"/>
      <c r="E36" s="93" t="s">
        <v>154</v>
      </c>
      <c r="F36" s="60"/>
      <c r="G36" s="60"/>
      <c r="H36" s="60"/>
      <c r="I36" s="60"/>
      <c r="J36" s="60"/>
      <c r="K36" s="60"/>
      <c r="L36" s="62"/>
      <c r="M36" s="62"/>
    </row>
    <row r="37" spans="1:13" ht="13.5" thickBot="1">
      <c r="A37" s="57"/>
      <c r="B37" s="57"/>
      <c r="C37" s="94"/>
      <c r="D37" s="91"/>
      <c r="E37" s="94"/>
      <c r="F37" s="94"/>
      <c r="G37" s="94"/>
      <c r="H37" s="94"/>
      <c r="I37" s="94"/>
      <c r="J37" s="60"/>
      <c r="K37" s="60"/>
      <c r="L37" s="66"/>
      <c r="M37" s="62"/>
    </row>
    <row r="38" spans="1:13" ht="13.5" thickBot="1">
      <c r="A38" s="68"/>
      <c r="B38" s="68"/>
      <c r="C38" s="69" t="s">
        <v>88</v>
      </c>
      <c r="D38" s="78" t="s">
        <v>90</v>
      </c>
      <c r="E38" s="69" t="s">
        <v>92</v>
      </c>
      <c r="F38" s="79" t="s">
        <v>88</v>
      </c>
      <c r="G38" s="71" t="s">
        <v>95</v>
      </c>
      <c r="H38" s="80" t="s">
        <v>88</v>
      </c>
      <c r="I38" s="80" t="s">
        <v>98</v>
      </c>
      <c r="J38" s="72" t="s">
        <v>100</v>
      </c>
      <c r="K38" s="72" t="s">
        <v>102</v>
      </c>
      <c r="L38" s="89" t="s">
        <v>146</v>
      </c>
      <c r="M38" s="62"/>
    </row>
    <row r="39" spans="1:13" ht="13.5" thickBot="1">
      <c r="A39" s="86" t="s">
        <v>87</v>
      </c>
      <c r="B39" s="73" t="s">
        <v>7</v>
      </c>
      <c r="C39" s="74" t="s">
        <v>89</v>
      </c>
      <c r="D39" s="73" t="s">
        <v>91</v>
      </c>
      <c r="E39" s="74" t="s">
        <v>93</v>
      </c>
      <c r="F39" s="75" t="s">
        <v>94</v>
      </c>
      <c r="G39" s="76" t="s">
        <v>96</v>
      </c>
      <c r="H39" s="77" t="s">
        <v>97</v>
      </c>
      <c r="I39" s="77" t="s">
        <v>99</v>
      </c>
      <c r="J39" s="77" t="s">
        <v>101</v>
      </c>
      <c r="K39" s="77" t="s">
        <v>103</v>
      </c>
      <c r="L39" s="90" t="s">
        <v>147</v>
      </c>
      <c r="M39" s="62"/>
    </row>
    <row r="40" spans="1:13" ht="12.75">
      <c r="A40" s="87" t="s">
        <v>112</v>
      </c>
      <c r="B40" s="88"/>
      <c r="C40" s="57"/>
      <c r="D40" s="89"/>
      <c r="E40" s="89"/>
      <c r="F40" s="57"/>
      <c r="G40" s="89"/>
      <c r="H40" s="57"/>
      <c r="I40" s="89"/>
      <c r="J40" s="57"/>
      <c r="K40" s="89"/>
      <c r="L40" s="88"/>
      <c r="M40" s="62"/>
    </row>
    <row r="41" spans="1:13" ht="12.75">
      <c r="A41" s="88"/>
      <c r="B41" s="88"/>
      <c r="C41" s="57"/>
      <c r="D41" s="88"/>
      <c r="E41" s="88"/>
      <c r="F41" s="57"/>
      <c r="G41" s="88"/>
      <c r="H41" s="57"/>
      <c r="I41" s="88"/>
      <c r="J41" s="57"/>
      <c r="K41" s="88"/>
      <c r="L41" s="88"/>
      <c r="M41" s="62"/>
    </row>
    <row r="42" spans="1:12" ht="12.75">
      <c r="A42" s="88" t="s">
        <v>105</v>
      </c>
      <c r="B42" s="88">
        <f>SUM(C42:L42)</f>
        <v>1621132.65</v>
      </c>
      <c r="C42" s="57">
        <f>470+2720+11660+400+2428+74232+864+61575+43594+34140+1392+11370.5+578+16433.37+3252.33+16971+25266</f>
        <v>307346.2</v>
      </c>
      <c r="D42" s="88">
        <f>2318+29208+18086+26886+18181+864+44699.5+7149+620+3000+45598.59+36456.92+3000+3014.84+42017+72109.25+2800+94465.73+13290.75+1697</f>
        <v>465461.57999999996</v>
      </c>
      <c r="E42" s="88">
        <f>9810+35295+864+20050+3853+666.67-30+74+4320.96+3346+6480</f>
        <v>84729.63</v>
      </c>
      <c r="F42" s="57">
        <f>6610.56+7330+7545+15080+720+3934+3790+24728+2340+15300.75+3450+20696.67+10871.5+243+12810+239.5</f>
        <v>135688.97999999998</v>
      </c>
      <c r="G42" s="88">
        <f>10660+1555+960+864+14580+17365+3312+19849+6395.67+3354.3+590+2380+13015.5+3671.25</f>
        <v>98551.72</v>
      </c>
      <c r="H42" s="57">
        <f>864+14580+4691.5+21036.67+148</f>
        <v>41320.17</v>
      </c>
      <c r="I42" s="88">
        <f>2270+1920+3156+3084+12279+10753+864+14640+1610+6510+17888+29306+27180.66+6318.85+15647.75+8317.37+19638.92+378</f>
        <v>181761.55</v>
      </c>
      <c r="J42" s="57">
        <f>3870+5508.75+9588+10000+7824+14580+12099+2650+55572.01+44000+9969.66+7377+3230+5409</f>
        <v>191677.42</v>
      </c>
      <c r="K42" s="88">
        <f>3020+11097.5+24369+5130.5+666.66+3107</f>
        <v>47390.66</v>
      </c>
      <c r="L42" s="88">
        <f>26692+6626+30023.74+3863</f>
        <v>67204.74</v>
      </c>
    </row>
    <row r="43" spans="1:12" ht="12.75">
      <c r="A43" s="88" t="s">
        <v>134</v>
      </c>
      <c r="B43" s="88">
        <f aca="true" t="shared" si="4" ref="B43:B61">SUM(C43:L43)</f>
        <v>16333.33</v>
      </c>
      <c r="C43" s="57"/>
      <c r="D43" s="88">
        <v>3000</v>
      </c>
      <c r="E43" s="88"/>
      <c r="F43" s="57">
        <v>1666.67</v>
      </c>
      <c r="G43" s="88"/>
      <c r="H43" s="57"/>
      <c r="I43" s="88"/>
      <c r="J43" s="57"/>
      <c r="K43" s="88">
        <v>11666.66</v>
      </c>
      <c r="L43" s="88"/>
    </row>
    <row r="44" spans="1:12" ht="12.75">
      <c r="A44" s="88" t="s">
        <v>125</v>
      </c>
      <c r="B44" s="88">
        <f t="shared" si="4"/>
        <v>118933</v>
      </c>
      <c r="C44" s="57"/>
      <c r="D44" s="88">
        <f>1400+1855.5+1000</f>
        <v>4255.5</v>
      </c>
      <c r="E44" s="88">
        <f>39000</f>
        <v>39000</v>
      </c>
      <c r="F44" s="57">
        <v>8000</v>
      </c>
      <c r="G44" s="88">
        <f>4300</f>
        <v>4300</v>
      </c>
      <c r="H44" s="57"/>
      <c r="I44" s="88">
        <f>25635+8900+16500</f>
        <v>51035</v>
      </c>
      <c r="J44" s="57">
        <f>2230+4900+2975</f>
        <v>10105</v>
      </c>
      <c r="K44" s="88">
        <v>2237.5</v>
      </c>
      <c r="L44" s="88"/>
    </row>
    <row r="45" spans="1:12" ht="12.75">
      <c r="A45" s="88" t="s">
        <v>133</v>
      </c>
      <c r="B45" s="88">
        <f t="shared" si="4"/>
        <v>353321.12</v>
      </c>
      <c r="C45" s="57">
        <f>34591.5+2850+123621</f>
        <v>161062.5</v>
      </c>
      <c r="D45" s="88">
        <f>10824.72+103264.4+50000</f>
        <v>164089.12</v>
      </c>
      <c r="E45" s="88"/>
      <c r="F45" s="57">
        <f>190+19273.5</f>
        <v>19463.5</v>
      </c>
      <c r="G45" s="88"/>
      <c r="H45" s="57">
        <f>2985</f>
        <v>2985</v>
      </c>
      <c r="I45" s="88">
        <f>5721</f>
        <v>5721</v>
      </c>
      <c r="J45" s="57"/>
      <c r="K45" s="88"/>
      <c r="L45" s="88"/>
    </row>
    <row r="46" spans="1:12" ht="12.75">
      <c r="A46" s="88" t="s">
        <v>132</v>
      </c>
      <c r="B46" s="88">
        <f t="shared" si="4"/>
        <v>120293.7</v>
      </c>
      <c r="C46" s="57">
        <f>1939.65+1500+2200+4023.96+4262.29+7497.23+3885.11</f>
        <v>25308.24</v>
      </c>
      <c r="D46" s="88">
        <f>1800.02+2033.51+2000</f>
        <v>5833.53</v>
      </c>
      <c r="E46" s="88">
        <f>2000+2350</f>
        <v>4350</v>
      </c>
      <c r="F46" s="57">
        <v>1396.5</v>
      </c>
      <c r="G46" s="88">
        <f>2706.37+3000+2500+2800</f>
        <v>11006.369999999999</v>
      </c>
      <c r="H46" s="57"/>
      <c r="I46" s="88">
        <f>4390+2752.2+2000+3670.04+9057.33+5365.06+1800.01+2033.51+2850</f>
        <v>33918.149999999994</v>
      </c>
      <c r="J46" s="57">
        <f>4390.86+2470.4+6178.61+3470.87+3000.72</f>
        <v>19511.46</v>
      </c>
      <c r="K46" s="88">
        <f>3500</f>
        <v>3500</v>
      </c>
      <c r="L46" s="88">
        <f>3232+7157.3+5080.15</f>
        <v>15469.449999999999</v>
      </c>
    </row>
    <row r="47" spans="1:12" ht="12.75">
      <c r="A47" s="88" t="s">
        <v>124</v>
      </c>
      <c r="B47" s="88">
        <f t="shared" si="4"/>
        <v>46962.42</v>
      </c>
      <c r="C47" s="57">
        <f>1048.81+1048.81+2097.62+1048.81+1048.81+1048.81+1048.81</f>
        <v>8390.479999999998</v>
      </c>
      <c r="D47" s="88"/>
      <c r="E47" s="88"/>
      <c r="F47" s="57">
        <f>1101.98+1249.26+1669.26+2350.78+2071.9+1411.1+1468.78+1426.22+1101.98</f>
        <v>13851.26</v>
      </c>
      <c r="G47" s="88"/>
      <c r="H47" s="57"/>
      <c r="I47" s="88">
        <f>20350</f>
        <v>20350</v>
      </c>
      <c r="J47" s="57"/>
      <c r="K47" s="88"/>
      <c r="L47" s="88">
        <f>1048.81+1126.02+1048.81+1147.04</f>
        <v>4370.68</v>
      </c>
    </row>
    <row r="48" spans="1:13" ht="12.75">
      <c r="A48" s="88" t="s">
        <v>106</v>
      </c>
      <c r="B48" s="88">
        <f t="shared" si="4"/>
        <v>659074.56</v>
      </c>
      <c r="C48" s="57">
        <f>26000+26800+10600+20200+13600+6500+11700+433</f>
        <v>115833</v>
      </c>
      <c r="D48" s="88">
        <f>8000+10650+15700+21000+21250+3600+44333.6+6000+27500+63300+500</f>
        <v>221833.6</v>
      </c>
      <c r="E48" s="88">
        <f>5000+12000+1800+20700</f>
        <v>39500</v>
      </c>
      <c r="F48" s="57">
        <f>3300+1000+6065+4500</f>
        <v>14865</v>
      </c>
      <c r="G48" s="88">
        <f>3500+11350+9250+7300</f>
        <v>31400</v>
      </c>
      <c r="H48" s="57">
        <f>17188.78+3200</f>
        <v>20388.78</v>
      </c>
      <c r="I48" s="88">
        <f>3300+5500+10760+12200+7700+28900+17300+4000+23600+26400</f>
        <v>139660</v>
      </c>
      <c r="J48" s="57">
        <f>350+21439+4700+3600+3850</f>
        <v>33939</v>
      </c>
      <c r="K48" s="88">
        <f>3300+6100+3500+11566.4</f>
        <v>24466.4</v>
      </c>
      <c r="L48" s="88">
        <v>17188.78</v>
      </c>
      <c r="M48" s="131"/>
    </row>
    <row r="49" spans="1:12" ht="12.75">
      <c r="A49" s="88" t="s">
        <v>131</v>
      </c>
      <c r="B49" s="88">
        <f t="shared" si="4"/>
        <v>2143653.27</v>
      </c>
      <c r="C49" s="57">
        <f>6050.25+25505+63511.6+308207.42+84550-300000+45105+2422.5+161410.25+26170.3</f>
        <v>422932.32</v>
      </c>
      <c r="D49" s="88">
        <f>88973+27910+87573+4000+5643.5+13800+81920+3072.23+7400+16595-300000+6675</f>
        <v>43561.72999999998</v>
      </c>
      <c r="E49" s="88">
        <f>46506.2+3072.23+16920.48</f>
        <v>66498.91</v>
      </c>
      <c r="F49" s="57">
        <f>20368.5+113682.72+2706.5+18570.75+3525+2260.5+106572.56+78754.5-300000+3072.23+3600+10735</f>
        <v>63848.26000000003</v>
      </c>
      <c r="G49" s="88">
        <f>18000+8528.15+30563.31+49855+6197.23+7443.5+63716.84</f>
        <v>184304.03</v>
      </c>
      <c r="H49" s="57">
        <f>3072.22+163676.82</f>
        <v>166749.04</v>
      </c>
      <c r="I49" s="88">
        <f>40140+43712.5+1950+3500+89573.56+55000+4150+36980.75+89040+68025+47475+3072.21+69215+55626.25+47532+35988+142220+17495</f>
        <v>850695.27</v>
      </c>
      <c r="J49" s="57">
        <f>30600+14487+52560.6+44480+24010</f>
        <v>166137.6</v>
      </c>
      <c r="K49" s="88">
        <f>25600+9100+11540+14023.5+540+3072.21+12862.61+17790+3638+1180</f>
        <v>99346.32</v>
      </c>
      <c r="L49" s="88">
        <f>32909.79+31225+8695+6750</f>
        <v>79579.79000000001</v>
      </c>
    </row>
    <row r="50" spans="1:12" ht="12.75">
      <c r="A50" s="88" t="s">
        <v>107</v>
      </c>
      <c r="B50" s="88">
        <f t="shared" si="4"/>
        <v>27800</v>
      </c>
      <c r="C50" s="57"/>
      <c r="D50" s="88">
        <v>24000</v>
      </c>
      <c r="E50" s="88"/>
      <c r="F50" s="57"/>
      <c r="G50" s="88"/>
      <c r="H50" s="57"/>
      <c r="I50" s="88">
        <v>3800</v>
      </c>
      <c r="J50" s="57"/>
      <c r="K50" s="88"/>
      <c r="L50" s="88"/>
    </row>
    <row r="51" spans="1:12" ht="12.75">
      <c r="A51" s="88" t="s">
        <v>138</v>
      </c>
      <c r="B51" s="88">
        <f t="shared" si="4"/>
        <v>2944</v>
      </c>
      <c r="C51" s="57"/>
      <c r="D51" s="88"/>
      <c r="E51" s="88"/>
      <c r="F51" s="57"/>
      <c r="G51" s="88"/>
      <c r="H51" s="57"/>
      <c r="I51" s="88">
        <v>2944</v>
      </c>
      <c r="J51" s="57"/>
      <c r="K51" s="88"/>
      <c r="L51" s="88"/>
    </row>
    <row r="52" spans="1:12" ht="13.5" thickBot="1">
      <c r="A52" s="88" t="s">
        <v>108</v>
      </c>
      <c r="B52" s="90">
        <f t="shared" si="4"/>
        <v>2234892.4600000004</v>
      </c>
      <c r="C52" s="91">
        <f>1170+5700+11000+19183+2786+2400+440+160+11000+31869+11000+11000+57044.25+16000+21030.37+27972.95+36280.58+3000+11500+11000+500</f>
        <v>292036.15</v>
      </c>
      <c r="D52" s="90">
        <f>92261.75+25000+39855+14000+19372+4435+22456+32100+48329.5+25825.61+30000+18121.31+10000+24350+25240+11000</f>
        <v>442346.17</v>
      </c>
      <c r="E52" s="90">
        <f>5250+2585.12+10186.89+3638.5</f>
        <v>21660.51</v>
      </c>
      <c r="F52" s="91">
        <f>23996+26000+11000+7500+1186.89+7360</f>
        <v>77042.89</v>
      </c>
      <c r="G52" s="90">
        <f>13104+3500+15244+6766+4378+1723.41+17279.52+3781+3980+24350</f>
        <v>94105.93000000001</v>
      </c>
      <c r="H52" s="91">
        <f>1885+7755.37+296.72</f>
        <v>9937.089999999998</v>
      </c>
      <c r="I52" s="90">
        <f>33621+13490+10000+23608+300+243429.42+15000+10000+46000+33034+34498+1640+24629.85+36423+5420+57028.1+75601+1000+18461.5+11000</f>
        <v>694183.87</v>
      </c>
      <c r="J52" s="91">
        <f>750+1680+15635.12</f>
        <v>18065.120000000003</v>
      </c>
      <c r="K52" s="90">
        <f>10000+168000+47224.24+10000+15000+20912.75+11255+29694.66+14847.33+348.36+81200+47900.9+1005</f>
        <v>457388.24</v>
      </c>
      <c r="L52" s="90">
        <f>128126.49</f>
        <v>128126.49</v>
      </c>
    </row>
    <row r="53" spans="1:12" ht="13.5" thickBot="1">
      <c r="A53" s="88" t="s">
        <v>109</v>
      </c>
      <c r="B53" s="92">
        <f t="shared" si="4"/>
        <v>7345340.509999999</v>
      </c>
      <c r="C53" s="92">
        <f aca="true" t="shared" si="5" ref="C53:K53">SUM(C42:C52)</f>
        <v>1332908.8900000001</v>
      </c>
      <c r="D53" s="92">
        <f t="shared" si="5"/>
        <v>1374381.23</v>
      </c>
      <c r="E53" s="92">
        <f t="shared" si="5"/>
        <v>255739.05000000002</v>
      </c>
      <c r="F53" s="92">
        <f t="shared" si="5"/>
        <v>335823.06000000006</v>
      </c>
      <c r="G53" s="92">
        <f t="shared" si="5"/>
        <v>423668.05</v>
      </c>
      <c r="H53" s="92">
        <f t="shared" si="5"/>
        <v>241380.08</v>
      </c>
      <c r="I53" s="92">
        <f t="shared" si="5"/>
        <v>1984068.8399999999</v>
      </c>
      <c r="J53" s="92">
        <f t="shared" si="5"/>
        <v>439435.6</v>
      </c>
      <c r="K53" s="92">
        <f t="shared" si="5"/>
        <v>645995.78</v>
      </c>
      <c r="L53" s="132">
        <f>SUM(L42:L52)</f>
        <v>311939.93</v>
      </c>
    </row>
    <row r="54" spans="1:13" ht="12.75">
      <c r="A54" s="88"/>
      <c r="B54" s="88">
        <f t="shared" si="4"/>
        <v>0</v>
      </c>
      <c r="C54" s="57"/>
      <c r="D54" s="88"/>
      <c r="E54" s="88"/>
      <c r="F54" s="57"/>
      <c r="G54" s="88"/>
      <c r="H54" s="57"/>
      <c r="I54" s="88"/>
      <c r="J54" s="57"/>
      <c r="K54" s="88"/>
      <c r="L54" s="129"/>
      <c r="M54" s="131"/>
    </row>
    <row r="55" spans="1:12" ht="12.75">
      <c r="A55" s="87" t="s">
        <v>113</v>
      </c>
      <c r="B55" s="88">
        <f t="shared" si="4"/>
        <v>0</v>
      </c>
      <c r="C55" s="57"/>
      <c r="D55" s="88"/>
      <c r="E55" s="88"/>
      <c r="F55" s="57"/>
      <c r="G55" s="88"/>
      <c r="H55" s="57"/>
      <c r="I55" s="88"/>
      <c r="J55" s="57"/>
      <c r="K55" s="88"/>
      <c r="L55" s="129"/>
    </row>
    <row r="56" spans="1:12" ht="12.75">
      <c r="A56" s="88"/>
      <c r="B56" s="88"/>
      <c r="C56" s="57"/>
      <c r="D56" s="88"/>
      <c r="E56" s="88"/>
      <c r="F56" s="57"/>
      <c r="G56" s="88"/>
      <c r="H56" s="57"/>
      <c r="I56" s="88"/>
      <c r="J56" s="57"/>
      <c r="K56" s="88"/>
      <c r="L56" s="129"/>
    </row>
    <row r="57" spans="1:12" ht="12.75">
      <c r="A57" s="88" t="s">
        <v>110</v>
      </c>
      <c r="B57" s="88">
        <f t="shared" si="4"/>
        <v>0</v>
      </c>
      <c r="C57" s="57"/>
      <c r="D57" s="88"/>
      <c r="E57" s="88"/>
      <c r="F57" s="57"/>
      <c r="G57" s="88"/>
      <c r="H57" s="57"/>
      <c r="I57" s="88"/>
      <c r="J57" s="57"/>
      <c r="K57" s="88"/>
      <c r="L57" s="129"/>
    </row>
    <row r="58" spans="1:12" ht="13.5" thickBot="1">
      <c r="A58" s="88" t="s">
        <v>111</v>
      </c>
      <c r="B58" s="90">
        <f t="shared" si="4"/>
        <v>2717161.9699999997</v>
      </c>
      <c r="C58" s="91">
        <f>265000+89405+92509.2+11000+37500+299165</f>
        <v>794579.2</v>
      </c>
      <c r="D58" s="90">
        <f>14800+73441+94942.5+461286</f>
        <v>644469.5</v>
      </c>
      <c r="E58" s="90">
        <f>17000+69258.77</f>
        <v>86258.77</v>
      </c>
      <c r="F58" s="91"/>
      <c r="G58" s="90">
        <f>77824+33011+10050+135210.75+57086.75+23800</f>
        <v>336982.5</v>
      </c>
      <c r="H58" s="91"/>
      <c r="I58" s="90">
        <f>265000+148600+82200+9800+82272</f>
        <v>587872</v>
      </c>
      <c r="J58" s="91"/>
      <c r="K58" s="90">
        <f>77000+190000</f>
        <v>267000</v>
      </c>
      <c r="L58" s="130"/>
    </row>
    <row r="59" spans="1:12" ht="13.5" thickBot="1">
      <c r="A59" s="88" t="s">
        <v>114</v>
      </c>
      <c r="B59" s="92">
        <f t="shared" si="4"/>
        <v>2717161.9699999997</v>
      </c>
      <c r="C59" s="92">
        <f aca="true" t="shared" si="6" ref="C59:L59">SUM(C56:C58)</f>
        <v>794579.2</v>
      </c>
      <c r="D59" s="92">
        <f t="shared" si="6"/>
        <v>644469.5</v>
      </c>
      <c r="E59" s="92">
        <f t="shared" si="6"/>
        <v>86258.77</v>
      </c>
      <c r="F59" s="92">
        <f t="shared" si="6"/>
        <v>0</v>
      </c>
      <c r="G59" s="92">
        <f t="shared" si="6"/>
        <v>336982.5</v>
      </c>
      <c r="H59" s="92">
        <f t="shared" si="6"/>
        <v>0</v>
      </c>
      <c r="I59" s="92">
        <f t="shared" si="6"/>
        <v>587872</v>
      </c>
      <c r="J59" s="92">
        <f t="shared" si="6"/>
        <v>0</v>
      </c>
      <c r="K59" s="92">
        <f t="shared" si="6"/>
        <v>267000</v>
      </c>
      <c r="L59" s="92">
        <f t="shared" si="6"/>
        <v>0</v>
      </c>
    </row>
    <row r="60" spans="1:12" ht="13.5" thickBot="1">
      <c r="A60" s="90"/>
      <c r="B60" s="92">
        <f t="shared" si="4"/>
        <v>0</v>
      </c>
      <c r="C60" s="91"/>
      <c r="D60" s="90"/>
      <c r="E60" s="90"/>
      <c r="F60" s="91"/>
      <c r="G60" s="90"/>
      <c r="H60" s="91"/>
      <c r="I60" s="90"/>
      <c r="J60" s="91"/>
      <c r="K60" s="90"/>
      <c r="L60" s="129"/>
    </row>
    <row r="61" spans="1:12" ht="13.5" thickBot="1">
      <c r="A61" s="90" t="s">
        <v>79</v>
      </c>
      <c r="B61" s="92">
        <f t="shared" si="4"/>
        <v>10062502.479999997</v>
      </c>
      <c r="C61" s="92">
        <f aca="true" t="shared" si="7" ref="C61:L61">SUM(C59+C53)</f>
        <v>2127488.09</v>
      </c>
      <c r="D61" s="91">
        <f t="shared" si="7"/>
        <v>2018850.73</v>
      </c>
      <c r="E61" s="92">
        <f t="shared" si="7"/>
        <v>341997.82</v>
      </c>
      <c r="F61" s="91">
        <f t="shared" si="7"/>
        <v>335823.06000000006</v>
      </c>
      <c r="G61" s="92">
        <f t="shared" si="7"/>
        <v>760650.55</v>
      </c>
      <c r="H61" s="91">
        <f t="shared" si="7"/>
        <v>241380.08</v>
      </c>
      <c r="I61" s="92">
        <f t="shared" si="7"/>
        <v>2571940.84</v>
      </c>
      <c r="J61" s="91">
        <f t="shared" si="7"/>
        <v>439435.6</v>
      </c>
      <c r="K61" s="92">
        <f t="shared" si="7"/>
        <v>912995.78</v>
      </c>
      <c r="L61" s="92">
        <f t="shared" si="7"/>
        <v>311939.93</v>
      </c>
    </row>
    <row r="62" spans="1:11" ht="12.75">
      <c r="A62" s="57"/>
      <c r="B62" s="57"/>
      <c r="C62" s="60"/>
      <c r="D62" s="57"/>
      <c r="E62" s="60"/>
      <c r="F62" s="60"/>
      <c r="G62" s="60"/>
      <c r="H62" s="60"/>
      <c r="I62" s="60"/>
      <c r="J62" s="60"/>
      <c r="K62" s="60"/>
    </row>
    <row r="63" spans="1:13" ht="12.75">
      <c r="A63" s="57"/>
      <c r="B63" s="57"/>
      <c r="C63" s="60"/>
      <c r="D63" s="57"/>
      <c r="E63" s="93" t="s">
        <v>155</v>
      </c>
      <c r="F63" s="60"/>
      <c r="G63" s="60"/>
      <c r="H63" s="60"/>
      <c r="I63" s="60"/>
      <c r="J63" s="60"/>
      <c r="K63" s="60"/>
      <c r="M63" s="131"/>
    </row>
    <row r="64" spans="1:11" ht="13.5" thickBot="1">
      <c r="A64" s="57"/>
      <c r="B64" s="57"/>
      <c r="C64" s="94"/>
      <c r="D64" s="91"/>
      <c r="E64" s="94"/>
      <c r="F64" s="94"/>
      <c r="G64" s="94"/>
      <c r="H64" s="94"/>
      <c r="I64" s="60"/>
      <c r="J64" s="60"/>
      <c r="K64" s="60"/>
    </row>
    <row r="65" spans="1:11" ht="13.5" thickBot="1">
      <c r="A65" s="68"/>
      <c r="B65" s="68"/>
      <c r="C65" s="69" t="s">
        <v>88</v>
      </c>
      <c r="D65" s="78" t="s">
        <v>90</v>
      </c>
      <c r="E65" s="69" t="s">
        <v>92</v>
      </c>
      <c r="F65" s="79" t="s">
        <v>88</v>
      </c>
      <c r="G65" s="71" t="s">
        <v>95</v>
      </c>
      <c r="H65" s="80" t="s">
        <v>88</v>
      </c>
      <c r="I65" s="72" t="s">
        <v>98</v>
      </c>
      <c r="J65" s="72" t="s">
        <v>100</v>
      </c>
      <c r="K65" s="72" t="s">
        <v>102</v>
      </c>
    </row>
    <row r="66" spans="1:11" ht="13.5" thickBot="1">
      <c r="A66" s="86" t="s">
        <v>87</v>
      </c>
      <c r="B66" s="73" t="s">
        <v>7</v>
      </c>
      <c r="C66" s="74" t="s">
        <v>89</v>
      </c>
      <c r="D66" s="73" t="s">
        <v>91</v>
      </c>
      <c r="E66" s="74" t="s">
        <v>93</v>
      </c>
      <c r="F66" s="75" t="s">
        <v>94</v>
      </c>
      <c r="G66" s="76" t="s">
        <v>96</v>
      </c>
      <c r="H66" s="77" t="s">
        <v>145</v>
      </c>
      <c r="I66" s="77" t="s">
        <v>99</v>
      </c>
      <c r="J66" s="77" t="s">
        <v>101</v>
      </c>
      <c r="K66" s="77" t="s">
        <v>103</v>
      </c>
    </row>
    <row r="67" spans="1:11" ht="12.75">
      <c r="A67" s="87" t="s">
        <v>112</v>
      </c>
      <c r="B67" s="88"/>
      <c r="C67" s="57"/>
      <c r="D67" s="89"/>
      <c r="E67" s="89"/>
      <c r="F67" s="57"/>
      <c r="G67" s="89"/>
      <c r="H67" s="57"/>
      <c r="I67" s="89"/>
      <c r="J67" s="57"/>
      <c r="K67" s="89"/>
    </row>
    <row r="68" spans="1:11" ht="12.75">
      <c r="A68" s="88"/>
      <c r="B68" s="88"/>
      <c r="C68" s="57"/>
      <c r="D68" s="88"/>
      <c r="E68" s="88"/>
      <c r="F68" s="57"/>
      <c r="G68" s="88"/>
      <c r="H68" s="57"/>
      <c r="I68" s="88"/>
      <c r="J68" s="57"/>
      <c r="K68" s="88"/>
    </row>
    <row r="69" spans="1:11" ht="12.75">
      <c r="A69" s="88" t="s">
        <v>105</v>
      </c>
      <c r="B69" s="88">
        <f aca="true" t="shared" si="8" ref="B69:B79">SUM(C69:K69)</f>
        <v>-110355.25</v>
      </c>
      <c r="C69" s="57">
        <f aca="true" t="shared" si="9" ref="C69:K70">SUM(C16-C42)</f>
        <v>92653.79999999999</v>
      </c>
      <c r="D69" s="88">
        <f t="shared" si="9"/>
        <v>-255461.57999999996</v>
      </c>
      <c r="E69" s="88">
        <f t="shared" si="9"/>
        <v>22042.34999999999</v>
      </c>
      <c r="F69" s="57">
        <f t="shared" si="9"/>
        <v>-82117.02999999998</v>
      </c>
      <c r="G69" s="88">
        <f t="shared" si="9"/>
        <v>10823.100000000006</v>
      </c>
      <c r="H69" s="57">
        <f t="shared" si="9"/>
        <v>13554.830000000002</v>
      </c>
      <c r="I69" s="88">
        <f t="shared" si="9"/>
        <v>107217.35999999999</v>
      </c>
      <c r="J69" s="57">
        <f t="shared" si="9"/>
        <v>-46677.42000000001</v>
      </c>
      <c r="K69" s="88">
        <f t="shared" si="9"/>
        <v>27609.339999999997</v>
      </c>
    </row>
    <row r="70" spans="1:11" ht="12.75">
      <c r="A70" s="88" t="s">
        <v>134</v>
      </c>
      <c r="B70" s="88">
        <f t="shared" si="8"/>
        <v>-16333.33</v>
      </c>
      <c r="C70" s="57">
        <f t="shared" si="9"/>
        <v>0</v>
      </c>
      <c r="D70" s="57">
        <f t="shared" si="9"/>
        <v>-3000</v>
      </c>
      <c r="E70" s="57">
        <f t="shared" si="9"/>
        <v>0</v>
      </c>
      <c r="F70" s="57">
        <f t="shared" si="9"/>
        <v>-1666.67</v>
      </c>
      <c r="G70" s="57">
        <f t="shared" si="9"/>
        <v>0</v>
      </c>
      <c r="H70" s="57">
        <f t="shared" si="9"/>
        <v>0</v>
      </c>
      <c r="I70" s="57">
        <f t="shared" si="9"/>
        <v>0</v>
      </c>
      <c r="J70" s="57">
        <f t="shared" si="9"/>
        <v>0</v>
      </c>
      <c r="K70" s="88">
        <f t="shared" si="9"/>
        <v>-11666.66</v>
      </c>
    </row>
    <row r="71" spans="1:11" ht="12.75">
      <c r="A71" s="88" t="s">
        <v>128</v>
      </c>
      <c r="B71" s="88">
        <f t="shared" si="8"/>
        <v>-118933</v>
      </c>
      <c r="C71" s="57">
        <f aca="true" t="shared" si="10" ref="C71:K78">SUM(C17-C44)</f>
        <v>0</v>
      </c>
      <c r="D71" s="88">
        <f t="shared" si="10"/>
        <v>-4255.5</v>
      </c>
      <c r="E71" s="88">
        <f t="shared" si="10"/>
        <v>-39000</v>
      </c>
      <c r="F71" s="57">
        <f t="shared" si="10"/>
        <v>-8000</v>
      </c>
      <c r="G71" s="88">
        <f t="shared" si="10"/>
        <v>-4300</v>
      </c>
      <c r="H71" s="57">
        <f t="shared" si="10"/>
        <v>0</v>
      </c>
      <c r="I71" s="88">
        <f t="shared" si="10"/>
        <v>-51035</v>
      </c>
      <c r="J71" s="57">
        <f t="shared" si="10"/>
        <v>-10105</v>
      </c>
      <c r="K71" s="88">
        <f t="shared" si="10"/>
        <v>-2237.5</v>
      </c>
    </row>
    <row r="72" spans="1:11" ht="12.75">
      <c r="A72" s="88" t="s">
        <v>129</v>
      </c>
      <c r="B72" s="88">
        <f t="shared" si="8"/>
        <v>-353321.12</v>
      </c>
      <c r="C72" s="57">
        <f t="shared" si="10"/>
        <v>-161062.5</v>
      </c>
      <c r="D72" s="88">
        <f t="shared" si="10"/>
        <v>-164089.12</v>
      </c>
      <c r="E72" s="88">
        <f t="shared" si="10"/>
        <v>0</v>
      </c>
      <c r="F72" s="57">
        <f t="shared" si="10"/>
        <v>-19463.5</v>
      </c>
      <c r="G72" s="88">
        <f t="shared" si="10"/>
        <v>0</v>
      </c>
      <c r="H72" s="57">
        <f t="shared" si="10"/>
        <v>-2985</v>
      </c>
      <c r="I72" s="88">
        <f t="shared" si="10"/>
        <v>-5721</v>
      </c>
      <c r="J72" s="57">
        <f t="shared" si="10"/>
        <v>0</v>
      </c>
      <c r="K72" s="88">
        <f t="shared" si="10"/>
        <v>0</v>
      </c>
    </row>
    <row r="73" spans="1:11" ht="12.75">
      <c r="A73" s="88" t="s">
        <v>132</v>
      </c>
      <c r="B73" s="88">
        <f>SUM(C73:K73)</f>
        <v>-104824.25</v>
      </c>
      <c r="C73" s="57">
        <f t="shared" si="10"/>
        <v>-25308.24</v>
      </c>
      <c r="D73" s="88">
        <f t="shared" si="10"/>
        <v>-5833.53</v>
      </c>
      <c r="E73" s="88">
        <f t="shared" si="10"/>
        <v>-4350</v>
      </c>
      <c r="F73" s="57">
        <f t="shared" si="10"/>
        <v>-1396.5</v>
      </c>
      <c r="G73" s="88">
        <f t="shared" si="10"/>
        <v>-11006.369999999999</v>
      </c>
      <c r="H73" s="57">
        <f t="shared" si="10"/>
        <v>0</v>
      </c>
      <c r="I73" s="88">
        <f t="shared" si="10"/>
        <v>-33918.149999999994</v>
      </c>
      <c r="J73" s="57">
        <f t="shared" si="10"/>
        <v>-19511.46</v>
      </c>
      <c r="K73" s="88">
        <f t="shared" si="10"/>
        <v>-3500</v>
      </c>
    </row>
    <row r="74" spans="1:11" ht="12.75">
      <c r="A74" s="88" t="s">
        <v>130</v>
      </c>
      <c r="B74" s="88">
        <f t="shared" si="8"/>
        <v>-42591.74</v>
      </c>
      <c r="C74" s="57">
        <f t="shared" si="10"/>
        <v>-8390.479999999998</v>
      </c>
      <c r="D74" s="88">
        <f t="shared" si="10"/>
        <v>0</v>
      </c>
      <c r="E74" s="88">
        <f t="shared" si="10"/>
        <v>0</v>
      </c>
      <c r="F74" s="57">
        <f t="shared" si="10"/>
        <v>-13851.26</v>
      </c>
      <c r="G74" s="88">
        <f t="shared" si="10"/>
        <v>0</v>
      </c>
      <c r="H74" s="57">
        <f t="shared" si="10"/>
        <v>0</v>
      </c>
      <c r="I74" s="88">
        <f t="shared" si="10"/>
        <v>-20350</v>
      </c>
      <c r="J74" s="57">
        <f t="shared" si="10"/>
        <v>0</v>
      </c>
      <c r="K74" s="88">
        <f t="shared" si="10"/>
        <v>0</v>
      </c>
    </row>
    <row r="75" spans="1:11" ht="12.75">
      <c r="A75" s="88" t="s">
        <v>106</v>
      </c>
      <c r="B75" s="88">
        <f t="shared" si="8"/>
        <v>930785.69</v>
      </c>
      <c r="C75" s="57">
        <f t="shared" si="10"/>
        <v>367183.64</v>
      </c>
      <c r="D75" s="88">
        <f t="shared" si="10"/>
        <v>-41833.600000000006</v>
      </c>
      <c r="E75" s="88">
        <f t="shared" si="10"/>
        <v>35500</v>
      </c>
      <c r="F75" s="57">
        <f t="shared" si="10"/>
        <v>35135</v>
      </c>
      <c r="G75" s="88">
        <f t="shared" si="10"/>
        <v>27600</v>
      </c>
      <c r="H75" s="57">
        <f t="shared" si="10"/>
        <v>45031.770000000004</v>
      </c>
      <c r="I75" s="88">
        <f t="shared" si="10"/>
        <v>452895.3799999999</v>
      </c>
      <c r="J75" s="57">
        <f t="shared" si="10"/>
        <v>11061</v>
      </c>
      <c r="K75" s="88">
        <f t="shared" si="10"/>
        <v>-1787.5</v>
      </c>
    </row>
    <row r="76" spans="1:11" ht="12.75">
      <c r="A76" s="88" t="s">
        <v>131</v>
      </c>
      <c r="B76" s="88">
        <f t="shared" si="8"/>
        <v>540469.3699999999</v>
      </c>
      <c r="C76" s="57">
        <f t="shared" si="10"/>
        <v>-45578.02999999997</v>
      </c>
      <c r="D76" s="88">
        <f t="shared" si="10"/>
        <v>223794.91000000003</v>
      </c>
      <c r="E76" s="88">
        <f t="shared" si="10"/>
        <v>48062.03</v>
      </c>
      <c r="F76" s="57">
        <f t="shared" si="10"/>
        <v>139722.64999999997</v>
      </c>
      <c r="G76" s="88">
        <f t="shared" si="10"/>
        <v>-138304.03</v>
      </c>
      <c r="H76" s="57">
        <f>SUM(H22-H49)</f>
        <v>-145874.04</v>
      </c>
      <c r="I76" s="88">
        <f t="shared" si="10"/>
        <v>392076.9099999999</v>
      </c>
      <c r="J76" s="57">
        <f t="shared" si="10"/>
        <v>65915.29000000001</v>
      </c>
      <c r="K76" s="88">
        <f t="shared" si="10"/>
        <v>653.679999999993</v>
      </c>
    </row>
    <row r="77" spans="1:11" ht="12.75">
      <c r="A77" s="88" t="s">
        <v>107</v>
      </c>
      <c r="B77" s="88">
        <f t="shared" si="8"/>
        <v>522651.47</v>
      </c>
      <c r="C77" s="57">
        <f>SUM(C23-C50)</f>
        <v>100000</v>
      </c>
      <c r="D77" s="88">
        <f>SUM(D23-D50)</f>
        <v>-24000</v>
      </c>
      <c r="E77" s="88">
        <f>SUM(E23-E50)</f>
        <v>50000</v>
      </c>
      <c r="F77" s="57">
        <f>SUM(F23-F50)</f>
        <v>0</v>
      </c>
      <c r="G77" s="88">
        <f>SUM(G23-G50)</f>
        <v>200000</v>
      </c>
      <c r="H77" s="57">
        <f>SUM(H23-H50)</f>
        <v>146875</v>
      </c>
      <c r="I77" s="88">
        <f t="shared" si="10"/>
        <v>-223.5300000000002</v>
      </c>
      <c r="J77" s="57">
        <f t="shared" si="10"/>
        <v>50000</v>
      </c>
      <c r="K77" s="88">
        <f t="shared" si="10"/>
        <v>0</v>
      </c>
    </row>
    <row r="78" spans="1:11" ht="12.75">
      <c r="A78" s="88" t="s">
        <v>139</v>
      </c>
      <c r="B78" s="88">
        <f aca="true" t="shared" si="11" ref="B78:K79">SUM(B24-B51)</f>
        <v>-2944</v>
      </c>
      <c r="C78" s="88">
        <f t="shared" si="11"/>
        <v>0</v>
      </c>
      <c r="D78" s="88">
        <f t="shared" si="11"/>
        <v>0</v>
      </c>
      <c r="E78" s="88">
        <f t="shared" si="11"/>
        <v>0</v>
      </c>
      <c r="F78" s="88">
        <f t="shared" si="11"/>
        <v>0</v>
      </c>
      <c r="G78" s="88">
        <f t="shared" si="11"/>
        <v>0</v>
      </c>
      <c r="H78" s="88">
        <f t="shared" si="11"/>
        <v>0</v>
      </c>
      <c r="I78" s="88">
        <f t="shared" si="10"/>
        <v>-2944</v>
      </c>
      <c r="J78" s="57">
        <f t="shared" si="10"/>
        <v>0</v>
      </c>
      <c r="K78" s="88">
        <f t="shared" si="10"/>
        <v>0</v>
      </c>
    </row>
    <row r="79" spans="1:11" ht="13.5" thickBot="1">
      <c r="A79" s="88" t="s">
        <v>108</v>
      </c>
      <c r="B79" s="90">
        <f t="shared" si="8"/>
        <v>-820136.72</v>
      </c>
      <c r="C79" s="57">
        <f t="shared" si="11"/>
        <v>-257652.41000000003</v>
      </c>
      <c r="D79" s="88">
        <f t="shared" si="11"/>
        <v>-22037.169999999984</v>
      </c>
      <c r="E79" s="88">
        <f t="shared" si="11"/>
        <v>-21660.51</v>
      </c>
      <c r="F79" s="57">
        <f t="shared" si="11"/>
        <v>-72042.89</v>
      </c>
      <c r="G79" s="88">
        <f t="shared" si="11"/>
        <v>-24105.930000000008</v>
      </c>
      <c r="H79" s="57">
        <f t="shared" si="11"/>
        <v>240509.88999999998</v>
      </c>
      <c r="I79" s="88">
        <f t="shared" si="11"/>
        <v>-694183.87</v>
      </c>
      <c r="J79" s="57">
        <f t="shared" si="11"/>
        <v>40876.88</v>
      </c>
      <c r="K79" s="88">
        <f t="shared" si="11"/>
        <v>-9840.709999999963</v>
      </c>
    </row>
    <row r="80" spans="1:11" ht="13.5" thickBot="1">
      <c r="A80" s="88" t="s">
        <v>109</v>
      </c>
      <c r="B80" s="92">
        <f aca="true" t="shared" si="12" ref="B80:K80">SUM(B69:B79)</f>
        <v>424467.1199999999</v>
      </c>
      <c r="C80" s="92">
        <f t="shared" si="12"/>
        <v>61845.77999999997</v>
      </c>
      <c r="D80" s="92">
        <f t="shared" si="12"/>
        <v>-296715.5899999999</v>
      </c>
      <c r="E80" s="92">
        <f t="shared" si="12"/>
        <v>90593.87</v>
      </c>
      <c r="F80" s="92">
        <f t="shared" si="12"/>
        <v>-23680.20000000001</v>
      </c>
      <c r="G80" s="92">
        <f t="shared" si="12"/>
        <v>60706.770000000004</v>
      </c>
      <c r="H80" s="92">
        <f t="shared" si="12"/>
        <v>297112.44999999995</v>
      </c>
      <c r="I80" s="92">
        <f t="shared" si="12"/>
        <v>143814.09999999974</v>
      </c>
      <c r="J80" s="92">
        <f t="shared" si="12"/>
        <v>91559.29000000001</v>
      </c>
      <c r="K80" s="92">
        <f t="shared" si="12"/>
        <v>-769.3499999999731</v>
      </c>
    </row>
    <row r="81" spans="1:11" ht="12.75">
      <c r="A81" s="88"/>
      <c r="B81" s="88"/>
      <c r="C81" s="57"/>
      <c r="D81" s="88"/>
      <c r="E81" s="88"/>
      <c r="F81" s="57"/>
      <c r="G81" s="88"/>
      <c r="H81" s="57"/>
      <c r="I81" s="88"/>
      <c r="J81" s="57"/>
      <c r="K81" s="88"/>
    </row>
    <row r="82" spans="1:11" ht="12.75">
      <c r="A82" s="87" t="s">
        <v>113</v>
      </c>
      <c r="B82" s="88"/>
      <c r="C82" s="57"/>
      <c r="D82" s="88"/>
      <c r="E82" s="88"/>
      <c r="F82" s="57"/>
      <c r="G82" s="88"/>
      <c r="H82" s="57"/>
      <c r="I82" s="88"/>
      <c r="J82" s="57"/>
      <c r="K82" s="88"/>
    </row>
    <row r="83" spans="1:11" ht="12.75">
      <c r="A83" s="88"/>
      <c r="B83" s="88">
        <f>SUM(C83:K83)</f>
        <v>0</v>
      </c>
      <c r="C83" s="57"/>
      <c r="D83" s="88"/>
      <c r="E83" s="88"/>
      <c r="F83" s="57"/>
      <c r="G83" s="88"/>
      <c r="H83" s="57"/>
      <c r="I83" s="88"/>
      <c r="J83" s="57"/>
      <c r="K83" s="88"/>
    </row>
    <row r="84" spans="1:11" ht="12.75">
      <c r="A84" s="88" t="s">
        <v>110</v>
      </c>
      <c r="B84" s="88">
        <f>SUM(C84:K84)</f>
        <v>0</v>
      </c>
      <c r="C84" s="57"/>
      <c r="D84" s="88"/>
      <c r="E84" s="88"/>
      <c r="F84" s="57"/>
      <c r="G84" s="88"/>
      <c r="H84" s="57"/>
      <c r="I84" s="88"/>
      <c r="J84" s="57"/>
      <c r="K84" s="88"/>
    </row>
    <row r="85" spans="1:11" ht="13.5" thickBot="1">
      <c r="A85" s="88" t="s">
        <v>111</v>
      </c>
      <c r="B85" s="90">
        <f>SUM(C85:K85)</f>
        <v>1040682.03</v>
      </c>
      <c r="C85" s="91">
        <f aca="true" t="shared" si="13" ref="C85:K85">SUM(C31-C58)</f>
        <v>-211563.6499999999</v>
      </c>
      <c r="D85" s="91">
        <f t="shared" si="13"/>
        <v>572123.5</v>
      </c>
      <c r="E85" s="90">
        <f t="shared" si="13"/>
        <v>-86258.77</v>
      </c>
      <c r="F85" s="91">
        <f t="shared" si="13"/>
        <v>0</v>
      </c>
      <c r="G85" s="90">
        <f t="shared" si="13"/>
        <v>101017.5</v>
      </c>
      <c r="H85" s="91">
        <f t="shared" si="13"/>
        <v>610000</v>
      </c>
      <c r="I85" s="90">
        <f t="shared" si="13"/>
        <v>2363.4499999999534</v>
      </c>
      <c r="J85" s="90">
        <f t="shared" si="13"/>
        <v>0</v>
      </c>
      <c r="K85" s="90">
        <f t="shared" si="13"/>
        <v>53000</v>
      </c>
    </row>
    <row r="86" spans="1:11" ht="13.5" thickBot="1">
      <c r="A86" s="88" t="s">
        <v>114</v>
      </c>
      <c r="B86" s="92">
        <f aca="true" t="shared" si="14" ref="B86:K86">SUM(B83:B85)</f>
        <v>1040682.03</v>
      </c>
      <c r="C86" s="92">
        <f t="shared" si="14"/>
        <v>-211563.6499999999</v>
      </c>
      <c r="D86" s="92">
        <f t="shared" si="14"/>
        <v>572123.5</v>
      </c>
      <c r="E86" s="92">
        <f t="shared" si="14"/>
        <v>-86258.77</v>
      </c>
      <c r="F86" s="92">
        <f t="shared" si="14"/>
        <v>0</v>
      </c>
      <c r="G86" s="92">
        <f t="shared" si="14"/>
        <v>101017.5</v>
      </c>
      <c r="H86" s="92">
        <f t="shared" si="14"/>
        <v>610000</v>
      </c>
      <c r="I86" s="92">
        <f t="shared" si="14"/>
        <v>2363.4499999999534</v>
      </c>
      <c r="J86" s="92">
        <f t="shared" si="14"/>
        <v>0</v>
      </c>
      <c r="K86" s="92">
        <f t="shared" si="14"/>
        <v>53000</v>
      </c>
    </row>
    <row r="87" spans="1:11" ht="13.5" thickBot="1">
      <c r="A87" s="90"/>
      <c r="B87" s="90"/>
      <c r="C87" s="91"/>
      <c r="D87" s="90"/>
      <c r="E87" s="90"/>
      <c r="F87" s="91"/>
      <c r="G87" s="90"/>
      <c r="H87" s="91"/>
      <c r="I87" s="90"/>
      <c r="J87" s="91"/>
      <c r="K87" s="90"/>
    </row>
    <row r="88" spans="1:11" ht="13.5" thickBot="1">
      <c r="A88" s="90" t="s">
        <v>79</v>
      </c>
      <c r="B88" s="91">
        <f>SUM(B86+B80)</f>
        <v>1465149.15</v>
      </c>
      <c r="C88" s="92">
        <f aca="true" t="shared" si="15" ref="C88:K88">SUM(C86+C80)</f>
        <v>-149717.86999999994</v>
      </c>
      <c r="D88" s="91">
        <f t="shared" si="15"/>
        <v>275407.9100000001</v>
      </c>
      <c r="E88" s="92">
        <f t="shared" si="15"/>
        <v>4335.099999999991</v>
      </c>
      <c r="F88" s="91">
        <f t="shared" si="15"/>
        <v>-23680.20000000001</v>
      </c>
      <c r="G88" s="92">
        <f t="shared" si="15"/>
        <v>161724.27000000002</v>
      </c>
      <c r="H88" s="91">
        <f t="shared" si="15"/>
        <v>907112.45</v>
      </c>
      <c r="I88" s="92">
        <f t="shared" si="15"/>
        <v>146177.5499999997</v>
      </c>
      <c r="J88" s="91">
        <f t="shared" si="15"/>
        <v>91559.29000000001</v>
      </c>
      <c r="K88" s="92">
        <f t="shared" si="15"/>
        <v>52230.65000000002</v>
      </c>
    </row>
    <row r="89" spans="1:11" ht="12.75">
      <c r="A89" s="57"/>
      <c r="B89" s="57"/>
      <c r="C89" s="60"/>
      <c r="D89" s="57"/>
      <c r="E89" s="60"/>
      <c r="F89" s="60"/>
      <c r="G89" s="60"/>
      <c r="H89" s="60"/>
      <c r="I89" s="60"/>
      <c r="J89" s="60"/>
      <c r="K89" s="60"/>
    </row>
    <row r="90" spans="1:11" ht="12.75">
      <c r="A90" s="57" t="s">
        <v>140</v>
      </c>
      <c r="B90" s="57"/>
      <c r="C90" s="60"/>
      <c r="D90" s="57"/>
      <c r="E90" s="60"/>
      <c r="F90" s="60"/>
      <c r="G90" s="60"/>
      <c r="H90" s="60"/>
      <c r="I90" s="60"/>
      <c r="J90" s="60"/>
      <c r="K90" s="60"/>
    </row>
    <row r="91" spans="1:11" ht="12.75">
      <c r="A91" s="57" t="s">
        <v>142</v>
      </c>
      <c r="B91" s="57"/>
      <c r="C91" s="60"/>
      <c r="D91" s="57"/>
      <c r="E91" s="60"/>
      <c r="F91" s="60"/>
      <c r="G91" s="60"/>
      <c r="H91" s="60"/>
      <c r="I91" s="60"/>
      <c r="J91" s="60"/>
      <c r="K91" s="60"/>
    </row>
    <row r="92" spans="1:11" ht="12.75">
      <c r="A92" s="57"/>
      <c r="B92" s="57"/>
      <c r="C92" s="60"/>
      <c r="D92" s="57"/>
      <c r="E92" s="60"/>
      <c r="F92" s="60"/>
      <c r="G92" s="60"/>
      <c r="H92" s="60"/>
      <c r="I92" s="60"/>
      <c r="J92" s="60"/>
      <c r="K92" s="60"/>
    </row>
    <row r="93" spans="1:11" ht="12.75">
      <c r="A93" s="57"/>
      <c r="B93" s="57"/>
      <c r="C93" s="60"/>
      <c r="D93" s="57"/>
      <c r="E93" s="60"/>
      <c r="F93" s="60"/>
      <c r="G93" s="60"/>
      <c r="H93" s="60"/>
      <c r="I93" s="60"/>
      <c r="J93" s="60"/>
      <c r="K93" s="60"/>
    </row>
    <row r="94" spans="1:4" ht="12.75">
      <c r="A94" s="128" t="s">
        <v>141</v>
      </c>
      <c r="B94" s="62"/>
      <c r="D94" s="62"/>
    </row>
    <row r="95" spans="1:4" ht="12.75">
      <c r="A95" s="127" t="s">
        <v>143</v>
      </c>
      <c r="B95" s="62"/>
      <c r="D95" s="62"/>
    </row>
    <row r="96" spans="1:4" ht="12.75">
      <c r="A96" s="62"/>
      <c r="B96" s="62"/>
      <c r="D96" s="62"/>
    </row>
    <row r="97" spans="1:4" ht="12.75">
      <c r="A97" s="62"/>
      <c r="B97" s="62"/>
      <c r="D97" s="62"/>
    </row>
    <row r="98" spans="1:4" ht="12.75">
      <c r="A98" s="62"/>
      <c r="B98" s="62"/>
      <c r="D98" s="62"/>
    </row>
    <row r="99" spans="1:4" ht="12.75">
      <c r="A99" s="62"/>
      <c r="B99" s="62"/>
      <c r="D99" s="62"/>
    </row>
    <row r="100" spans="1:4" ht="12.75">
      <c r="A100" s="62"/>
      <c r="B100" s="62"/>
      <c r="D100" s="62"/>
    </row>
    <row r="101" spans="1:4" ht="12.75">
      <c r="A101" s="62"/>
      <c r="B101" s="62"/>
      <c r="D101" s="62"/>
    </row>
    <row r="102" spans="1:4" ht="12.75">
      <c r="A102" s="62"/>
      <c r="B102" s="62"/>
      <c r="D102" s="62"/>
    </row>
    <row r="103" spans="1:4" ht="12.75">
      <c r="A103" s="62"/>
      <c r="B103" s="62"/>
      <c r="D103" s="62"/>
    </row>
    <row r="104" spans="1:4" ht="12.75">
      <c r="A104" s="62"/>
      <c r="B104" s="62"/>
      <c r="D104" s="62"/>
    </row>
    <row r="105" spans="1:4" ht="12.75">
      <c r="A105" s="62"/>
      <c r="B105" s="62"/>
      <c r="D105" s="62"/>
    </row>
    <row r="106" spans="1:4" ht="12.75">
      <c r="A106" s="62"/>
      <c r="B106" s="62"/>
      <c r="D106" s="62"/>
    </row>
    <row r="107" spans="1:4" ht="12.75">
      <c r="A107" s="62"/>
      <c r="B107" s="62"/>
      <c r="D107" s="62"/>
    </row>
    <row r="108" spans="1:4" ht="12.75">
      <c r="A108" s="62"/>
      <c r="B108" s="62"/>
      <c r="D108" s="62"/>
    </row>
    <row r="109" spans="1:4" ht="12.75">
      <c r="A109" s="62"/>
      <c r="B109" s="62"/>
      <c r="D109" s="62"/>
    </row>
    <row r="110" spans="1:4" ht="12.75">
      <c r="A110" s="62"/>
      <c r="B110" s="62"/>
      <c r="D110" s="62"/>
    </row>
    <row r="111" spans="1:4" ht="12.75">
      <c r="A111" s="62"/>
      <c r="B111" s="62"/>
      <c r="D111" s="62"/>
    </row>
    <row r="112" spans="1:4" ht="12.75">
      <c r="A112" s="62"/>
      <c r="B112" s="62"/>
      <c r="D112" s="62"/>
    </row>
    <row r="113" spans="1:4" ht="12.75">
      <c r="A113" s="62"/>
      <c r="B113" s="62"/>
      <c r="D113" s="62"/>
    </row>
    <row r="114" spans="1:4" ht="12.75">
      <c r="A114" s="62"/>
      <c r="B114" s="62"/>
      <c r="D114" s="62"/>
    </row>
    <row r="115" spans="1:4" ht="12.75">
      <c r="A115" s="62"/>
      <c r="B115" s="62"/>
      <c r="D115" s="62"/>
    </row>
    <row r="116" spans="1:4" ht="12.75">
      <c r="A116" s="62"/>
      <c r="B116" s="62"/>
      <c r="D116" s="62"/>
    </row>
    <row r="117" spans="1:4" ht="12.75">
      <c r="A117" s="62"/>
      <c r="B117" s="62"/>
      <c r="D117" s="62"/>
    </row>
    <row r="118" spans="1:4" ht="12.75">
      <c r="A118" s="62"/>
      <c r="B118" s="62"/>
      <c r="D118" s="62"/>
    </row>
    <row r="119" spans="1:4" ht="12.75">
      <c r="A119" s="62"/>
      <c r="B119" s="62"/>
      <c r="D119" s="62"/>
    </row>
    <row r="120" spans="1:4" ht="12.75">
      <c r="A120" s="62"/>
      <c r="B120" s="62"/>
      <c r="D120" s="62"/>
    </row>
    <row r="121" spans="1:4" ht="12.75">
      <c r="A121" s="62"/>
      <c r="B121" s="62"/>
      <c r="D121" s="62"/>
    </row>
    <row r="122" spans="1:4" ht="12.75">
      <c r="A122" s="62"/>
      <c r="B122" s="62"/>
      <c r="D122" s="62"/>
    </row>
    <row r="123" spans="1:4" ht="12.75">
      <c r="A123" s="62"/>
      <c r="B123" s="62"/>
      <c r="D123" s="62"/>
    </row>
    <row r="124" spans="1:4" ht="12.75">
      <c r="A124" s="62"/>
      <c r="B124" s="62"/>
      <c r="D124" s="62"/>
    </row>
    <row r="125" spans="1:4" ht="12.75">
      <c r="A125" s="62"/>
      <c r="B125" s="62"/>
      <c r="D125" s="62"/>
    </row>
    <row r="126" spans="1:4" ht="12.75">
      <c r="A126" s="62"/>
      <c r="B126" s="62"/>
      <c r="D126" s="62"/>
    </row>
    <row r="127" spans="1:4" ht="12.75">
      <c r="A127" s="62"/>
      <c r="B127" s="62"/>
      <c r="D127" s="62"/>
    </row>
    <row r="128" spans="1:4" ht="12.75">
      <c r="A128" s="62"/>
      <c r="B128" s="62"/>
      <c r="D128" s="62"/>
    </row>
    <row r="129" spans="1:4" ht="12.75">
      <c r="A129" s="62"/>
      <c r="B129" s="62"/>
      <c r="D129" s="62"/>
    </row>
    <row r="130" spans="1:4" ht="12.75">
      <c r="A130" s="62"/>
      <c r="B130" s="62"/>
      <c r="D130" s="62"/>
    </row>
    <row r="131" spans="1:4" ht="12.75">
      <c r="A131" s="62"/>
      <c r="B131" s="62"/>
      <c r="D131" s="62"/>
    </row>
    <row r="132" spans="1:4" ht="12.75">
      <c r="A132" s="62"/>
      <c r="B132" s="62"/>
      <c r="D132" s="62"/>
    </row>
    <row r="133" spans="1:4" ht="12.75">
      <c r="A133" s="62"/>
      <c r="B133" s="62"/>
      <c r="D133" s="62"/>
    </row>
    <row r="134" spans="1:4" ht="12.75">
      <c r="A134" s="62"/>
      <c r="B134" s="62"/>
      <c r="D134" s="62"/>
    </row>
    <row r="135" spans="1:4" ht="12.75">
      <c r="A135" s="62"/>
      <c r="B135" s="62"/>
      <c r="D135" s="62"/>
    </row>
    <row r="136" spans="1:4" ht="12.75">
      <c r="A136" s="62"/>
      <c r="B136" s="62"/>
      <c r="D136" s="62"/>
    </row>
    <row r="137" spans="1:4" ht="12.75">
      <c r="A137" s="62"/>
      <c r="B137" s="62"/>
      <c r="D137" s="62"/>
    </row>
    <row r="138" spans="1:4" ht="12.75">
      <c r="A138" s="62"/>
      <c r="B138" s="62"/>
      <c r="D138" s="62"/>
    </row>
    <row r="139" spans="1:4" ht="12.75">
      <c r="A139" s="62"/>
      <c r="B139" s="62"/>
      <c r="D139" s="62"/>
    </row>
    <row r="140" spans="1:4" ht="12.75">
      <c r="A140" s="62"/>
      <c r="B140" s="62"/>
      <c r="D140" s="62"/>
    </row>
    <row r="141" spans="1:4" ht="12.75">
      <c r="A141" s="62"/>
      <c r="B141" s="62"/>
      <c r="D141" s="62"/>
    </row>
    <row r="142" spans="1:4" ht="12.75">
      <c r="A142" s="62"/>
      <c r="B142" s="62"/>
      <c r="D142" s="62"/>
    </row>
    <row r="143" spans="1:4" ht="12.75">
      <c r="A143" s="62"/>
      <c r="B143" s="62"/>
      <c r="D143" s="62"/>
    </row>
    <row r="144" spans="1:4" ht="12.75">
      <c r="A144" s="62"/>
      <c r="B144" s="62"/>
      <c r="D144" s="62"/>
    </row>
    <row r="145" spans="1:4" ht="12.75">
      <c r="A145" s="62"/>
      <c r="B145" s="62"/>
      <c r="D145" s="62"/>
    </row>
    <row r="146" spans="1:4" ht="12.75">
      <c r="A146" s="62"/>
      <c r="B146" s="62"/>
      <c r="D146" s="62"/>
    </row>
    <row r="147" spans="1:4" ht="12.75">
      <c r="A147" s="62"/>
      <c r="B147" s="62"/>
      <c r="D147" s="62"/>
    </row>
    <row r="148" spans="1:4" ht="12.75">
      <c r="A148" s="62"/>
      <c r="B148" s="62"/>
      <c r="D148" s="62"/>
    </row>
    <row r="149" spans="1:4" ht="12.75">
      <c r="A149" s="62"/>
      <c r="B149" s="62"/>
      <c r="D149" s="62"/>
    </row>
    <row r="150" spans="1:4" ht="12.75">
      <c r="A150" s="62"/>
      <c r="B150" s="62"/>
      <c r="D150" s="62"/>
    </row>
    <row r="151" spans="1:4" ht="12.75">
      <c r="A151" s="62"/>
      <c r="B151" s="62"/>
      <c r="D151" s="62"/>
    </row>
    <row r="152" spans="1:4" ht="12.75">
      <c r="A152" s="62"/>
      <c r="B152" s="62"/>
      <c r="D152" s="62"/>
    </row>
    <row r="153" spans="1:4" ht="12.75">
      <c r="A153" s="62"/>
      <c r="B153" s="62"/>
      <c r="D153" s="62"/>
    </row>
    <row r="154" spans="1:4" ht="12.75">
      <c r="A154" s="62"/>
      <c r="B154" s="62"/>
      <c r="D154" s="62"/>
    </row>
    <row r="155" spans="1:4" ht="12.75">
      <c r="A155" s="62"/>
      <c r="B155" s="62"/>
      <c r="D155" s="62"/>
    </row>
    <row r="156" spans="1:4" ht="12.75">
      <c r="A156" s="62"/>
      <c r="B156" s="62"/>
      <c r="D156" s="62"/>
    </row>
    <row r="157" spans="1:4" ht="12.75">
      <c r="A157" s="62"/>
      <c r="B157" s="62"/>
      <c r="D157" s="62"/>
    </row>
    <row r="158" spans="1:4" ht="12.75">
      <c r="A158" s="62"/>
      <c r="B158" s="62"/>
      <c r="D158" s="62"/>
    </row>
    <row r="159" spans="1:4" ht="12.75">
      <c r="A159" s="62"/>
      <c r="B159" s="62"/>
      <c r="D159" s="62"/>
    </row>
    <row r="160" spans="1:4" ht="12.75">
      <c r="A160" s="62"/>
      <c r="B160" s="62"/>
      <c r="D160" s="62"/>
    </row>
    <row r="161" spans="1:4" ht="12.75">
      <c r="A161" s="62"/>
      <c r="B161" s="62"/>
      <c r="D161" s="62"/>
    </row>
    <row r="162" spans="1:4" ht="12.75">
      <c r="A162" s="62"/>
      <c r="B162" s="62"/>
      <c r="D162" s="62"/>
    </row>
    <row r="163" spans="1:4" ht="12.75">
      <c r="A163" s="62"/>
      <c r="B163" s="62"/>
      <c r="D163" s="62"/>
    </row>
    <row r="164" spans="1:4" ht="12.75">
      <c r="A164" s="62"/>
      <c r="B164" s="62"/>
      <c r="D164" s="62"/>
    </row>
    <row r="165" spans="1:4" ht="12.75">
      <c r="A165" s="62"/>
      <c r="B165" s="62"/>
      <c r="D165" s="62"/>
    </row>
    <row r="166" spans="1:4" ht="12.75">
      <c r="A166" s="62"/>
      <c r="B166" s="62"/>
      <c r="D166" s="62"/>
    </row>
    <row r="167" spans="1:4" ht="12.75">
      <c r="A167" s="62"/>
      <c r="B167" s="62"/>
      <c r="D167" s="62"/>
    </row>
    <row r="168" spans="1:4" ht="12.75">
      <c r="A168" s="62"/>
      <c r="B168" s="62"/>
      <c r="D168" s="62"/>
    </row>
    <row r="169" spans="1:4" ht="12.75">
      <c r="A169" s="62"/>
      <c r="B169" s="62"/>
      <c r="D169" s="62"/>
    </row>
    <row r="170" spans="1:4" ht="12.75">
      <c r="A170" s="62"/>
      <c r="B170" s="62"/>
      <c r="D170" s="62"/>
    </row>
    <row r="171" spans="1:4" ht="12.75">
      <c r="A171" s="62"/>
      <c r="B171" s="62"/>
      <c r="D171" s="62"/>
    </row>
    <row r="172" spans="1:4" ht="12.75">
      <c r="A172" s="62"/>
      <c r="B172" s="62"/>
      <c r="D172" s="62"/>
    </row>
    <row r="173" spans="1:4" ht="12.75">
      <c r="A173" s="62"/>
      <c r="B173" s="62"/>
      <c r="D173" s="62"/>
    </row>
    <row r="174" spans="1:4" ht="12.75">
      <c r="A174" s="62"/>
      <c r="B174" s="62"/>
      <c r="D174" s="62"/>
    </row>
    <row r="175" spans="1:4" ht="12.75">
      <c r="A175" s="62"/>
      <c r="B175" s="62"/>
      <c r="D175" s="62"/>
    </row>
    <row r="176" spans="1:4" ht="12.75">
      <c r="A176" s="62"/>
      <c r="B176" s="62"/>
      <c r="D176" s="62"/>
    </row>
    <row r="177" spans="1:4" ht="12.75">
      <c r="A177" s="62"/>
      <c r="B177" s="62"/>
      <c r="D177" s="62"/>
    </row>
    <row r="178" spans="1:4" ht="12.75">
      <c r="A178" s="62"/>
      <c r="B178" s="62"/>
      <c r="D178" s="62"/>
    </row>
    <row r="179" spans="1:4" ht="12.75">
      <c r="A179" s="62"/>
      <c r="B179" s="62"/>
      <c r="D179" s="62"/>
    </row>
    <row r="180" spans="1:5" ht="12.75">
      <c r="A180" s="62"/>
      <c r="B180" s="62"/>
      <c r="D180" s="62"/>
      <c r="E180" s="63"/>
    </row>
    <row r="181" spans="1:5" ht="12.75">
      <c r="A181" s="62"/>
      <c r="B181" s="62"/>
      <c r="D181" s="62"/>
      <c r="E181" s="63"/>
    </row>
    <row r="182" spans="1:5" ht="12.75">
      <c r="A182" s="62"/>
      <c r="B182" s="62"/>
      <c r="D182" s="62"/>
      <c r="E182" s="63"/>
    </row>
    <row r="183" spans="1:5" ht="12.75">
      <c r="A183" s="62"/>
      <c r="B183" s="62"/>
      <c r="D183" s="62"/>
      <c r="E183" s="63"/>
    </row>
    <row r="184" spans="1:5" ht="12.75">
      <c r="A184" s="62"/>
      <c r="B184" s="62"/>
      <c r="D184" s="62"/>
      <c r="E184" s="63"/>
    </row>
    <row r="185" spans="1:4" ht="12.75">
      <c r="A185" s="62"/>
      <c r="B185" s="62"/>
      <c r="D185" s="62"/>
    </row>
    <row r="186" spans="1:4" ht="12.75">
      <c r="A186" s="62"/>
      <c r="B186" s="62"/>
      <c r="D186" s="62"/>
    </row>
    <row r="187" spans="1:4" ht="12.75">
      <c r="A187" s="62"/>
      <c r="B187" s="62"/>
      <c r="D187" s="62"/>
    </row>
    <row r="188" spans="1:4" ht="12.75">
      <c r="A188" s="62"/>
      <c r="B188" s="62"/>
      <c r="D188" s="62"/>
    </row>
    <row r="189" spans="1:4" ht="12.75">
      <c r="A189" s="62"/>
      <c r="B189" s="62"/>
      <c r="D189" s="62"/>
    </row>
    <row r="190" spans="1:4" ht="12.75">
      <c r="A190" s="62"/>
      <c r="B190" s="62"/>
      <c r="D190" s="62"/>
    </row>
    <row r="191" spans="1:4" ht="12.75">
      <c r="A191" s="62"/>
      <c r="B191" s="62"/>
      <c r="D191" s="62"/>
    </row>
    <row r="192" spans="1:4" ht="12.75">
      <c r="A192" s="62"/>
      <c r="B192" s="62"/>
      <c r="D192" s="62"/>
    </row>
    <row r="193" spans="1:4" ht="12.75">
      <c r="A193" s="62"/>
      <c r="B193" s="62"/>
      <c r="D193" s="62"/>
    </row>
    <row r="194" spans="1:4" ht="12.75">
      <c r="A194" s="62"/>
      <c r="B194" s="62"/>
      <c r="D194" s="62"/>
    </row>
    <row r="195" spans="1:4" ht="12.75">
      <c r="A195" s="62"/>
      <c r="B195" s="62"/>
      <c r="D195" s="62"/>
    </row>
    <row r="196" spans="1:4" ht="12.75">
      <c r="A196" s="62"/>
      <c r="B196" s="62"/>
      <c r="D196" s="62"/>
    </row>
    <row r="197" spans="1:4" ht="12.75">
      <c r="A197" s="62"/>
      <c r="B197" s="62"/>
      <c r="D197" s="62"/>
    </row>
    <row r="198" spans="1:4" ht="12.75">
      <c r="A198" s="62"/>
      <c r="B198" s="62"/>
      <c r="D198" s="62"/>
    </row>
    <row r="199" spans="1:4" ht="12.75">
      <c r="A199" s="62"/>
      <c r="B199" s="62"/>
      <c r="D199" s="62"/>
    </row>
    <row r="200" spans="1:4" ht="12.75">
      <c r="A200" s="62"/>
      <c r="B200" s="62"/>
      <c r="D200" s="62"/>
    </row>
    <row r="201" spans="1:4" ht="12.75">
      <c r="A201" s="62"/>
      <c r="B201" s="62"/>
      <c r="D201" s="62"/>
    </row>
    <row r="202" spans="1:4" ht="12.75">
      <c r="A202" s="62"/>
      <c r="B202" s="62"/>
      <c r="D202" s="62"/>
    </row>
    <row r="203" spans="1:4" ht="12.75">
      <c r="A203" s="62"/>
      <c r="B203" s="62"/>
      <c r="D203" s="62"/>
    </row>
    <row r="204" spans="1:5" ht="12.75">
      <c r="A204" s="62"/>
      <c r="B204" s="62"/>
      <c r="D204" s="62"/>
      <c r="E204" s="63"/>
    </row>
    <row r="205" spans="1:4" ht="12.75">
      <c r="A205" s="62"/>
      <c r="B205" s="62"/>
      <c r="D205" s="62"/>
    </row>
    <row r="206" spans="1:4" ht="12.75">
      <c r="A206" s="62"/>
      <c r="B206" s="62"/>
      <c r="D206" s="62"/>
    </row>
    <row r="207" spans="1:4" ht="12.75">
      <c r="A207" s="62"/>
      <c r="B207" s="62"/>
      <c r="D207" s="62"/>
    </row>
    <row r="208" spans="1:4" ht="12.75">
      <c r="A208" s="62"/>
      <c r="B208" s="62"/>
      <c r="D208" s="62"/>
    </row>
    <row r="209" spans="1:4" ht="12.75">
      <c r="A209" s="62"/>
      <c r="B209" s="62"/>
      <c r="D209" s="62"/>
    </row>
    <row r="210" spans="1:4" ht="12.75">
      <c r="A210" s="62"/>
      <c r="B210" s="62"/>
      <c r="D210" s="62"/>
    </row>
    <row r="211" spans="1:4" ht="12.75">
      <c r="A211" s="62"/>
      <c r="B211" s="62"/>
      <c r="D211" s="62"/>
    </row>
    <row r="212" spans="1:4" ht="12.75">
      <c r="A212" s="62"/>
      <c r="B212" s="62"/>
      <c r="D212" s="62"/>
    </row>
    <row r="213" spans="1:4" ht="12.75">
      <c r="A213" s="62"/>
      <c r="B213" s="62"/>
      <c r="D213" s="62"/>
    </row>
    <row r="214" spans="1:4" ht="12.75">
      <c r="A214" s="62"/>
      <c r="B214" s="62"/>
      <c r="D214" s="62"/>
    </row>
    <row r="215" spans="1:4" ht="12.75">
      <c r="A215" s="62"/>
      <c r="B215" s="62"/>
      <c r="D215" s="62"/>
    </row>
    <row r="216" spans="1:4" ht="12.75">
      <c r="A216" s="62"/>
      <c r="B216" s="62"/>
      <c r="D216" s="62"/>
    </row>
    <row r="217" spans="1:4" ht="12.75">
      <c r="A217" s="62"/>
      <c r="B217" s="62"/>
      <c r="D217" s="62"/>
    </row>
    <row r="218" spans="1:4" ht="12.75">
      <c r="A218" s="62"/>
      <c r="B218" s="62"/>
      <c r="D218" s="62"/>
    </row>
    <row r="219" spans="1:4" ht="12.75">
      <c r="A219" s="62"/>
      <c r="B219" s="62"/>
      <c r="D219" s="62"/>
    </row>
    <row r="220" spans="1:4" ht="12.75">
      <c r="A220" s="62"/>
      <c r="B220" s="62"/>
      <c r="D220" s="62"/>
    </row>
    <row r="221" spans="1:4" ht="12.75">
      <c r="A221" s="62"/>
      <c r="B221" s="62"/>
      <c r="D221" s="62"/>
    </row>
    <row r="222" spans="1:5" ht="12.75">
      <c r="A222" s="62"/>
      <c r="B222" s="62"/>
      <c r="D222" s="62"/>
      <c r="E222" s="63"/>
    </row>
    <row r="223" spans="1:5" ht="12.75">
      <c r="A223" s="62"/>
      <c r="B223" s="62"/>
      <c r="D223" s="62"/>
      <c r="E223" s="63"/>
    </row>
    <row r="224" spans="1:4" ht="12.75">
      <c r="A224" s="62"/>
      <c r="B224" s="62"/>
      <c r="D224" s="62"/>
    </row>
    <row r="225" spans="1:4" ht="12.75">
      <c r="A225" s="62"/>
      <c r="B225" s="62"/>
      <c r="D225" s="62"/>
    </row>
    <row r="226" spans="1:4" ht="12.75">
      <c r="A226" s="62"/>
      <c r="B226" s="62"/>
      <c r="D226" s="62"/>
    </row>
    <row r="227" spans="1:4" ht="12.75">
      <c r="A227" s="62"/>
      <c r="B227" s="62"/>
      <c r="D227" s="62"/>
    </row>
    <row r="228" spans="1:4" ht="12.75">
      <c r="A228" s="62"/>
      <c r="B228" s="62"/>
      <c r="D228" s="62"/>
    </row>
    <row r="229" spans="1:4" ht="12.75">
      <c r="A229" s="62"/>
      <c r="B229" s="62"/>
      <c r="D229" s="62"/>
    </row>
    <row r="230" spans="1:4" ht="12.75">
      <c r="A230" s="62"/>
      <c r="B230" s="62"/>
      <c r="D230" s="62"/>
    </row>
    <row r="231" spans="1:5" ht="12.75">
      <c r="A231" s="62"/>
      <c r="B231" s="62"/>
      <c r="D231" s="62"/>
      <c r="E231" s="63"/>
    </row>
    <row r="232" spans="1:4" ht="12.75">
      <c r="A232" s="62"/>
      <c r="B232" s="62"/>
      <c r="D232" s="62"/>
    </row>
    <row r="233" spans="1:4" ht="12.75">
      <c r="A233" s="62"/>
      <c r="B233" s="62"/>
      <c r="D233" s="62"/>
    </row>
    <row r="234" spans="1:4" ht="12.75">
      <c r="A234" s="62"/>
      <c r="B234" s="62"/>
      <c r="D234" s="62"/>
    </row>
    <row r="235" spans="1:4" ht="12.75">
      <c r="A235" s="62"/>
      <c r="B235" s="62"/>
      <c r="D235" s="62"/>
    </row>
    <row r="236" spans="1:4" ht="12.75">
      <c r="A236" s="62"/>
      <c r="B236" s="62"/>
      <c r="D236" s="62"/>
    </row>
    <row r="237" spans="1:4" ht="12.75">
      <c r="A237" s="62"/>
      <c r="B237" s="62"/>
      <c r="D237" s="62"/>
    </row>
    <row r="238" spans="1:4" ht="12.75">
      <c r="A238" s="62"/>
      <c r="B238" s="62"/>
      <c r="D238" s="62"/>
    </row>
    <row r="239" spans="1:4" ht="12.75">
      <c r="A239" s="62"/>
      <c r="B239" s="62"/>
      <c r="D239" s="62"/>
    </row>
    <row r="240" spans="1:4" ht="12.75">
      <c r="A240" s="62"/>
      <c r="B240" s="62"/>
      <c r="D240" s="62"/>
    </row>
    <row r="241" spans="1:4" ht="12.75">
      <c r="A241" s="62"/>
      <c r="B241" s="62"/>
      <c r="D241" s="62"/>
    </row>
    <row r="242" spans="1:4" ht="12.75">
      <c r="A242" s="62"/>
      <c r="B242" s="62"/>
      <c r="D242" s="62"/>
    </row>
    <row r="243" spans="1:4" ht="12.75">
      <c r="A243" s="62"/>
      <c r="B243" s="62"/>
      <c r="D243" s="62"/>
    </row>
    <row r="244" spans="1:4" ht="12.75">
      <c r="A244" s="62"/>
      <c r="B244" s="62"/>
      <c r="D244" s="62"/>
    </row>
    <row r="245" spans="1:4" ht="12.75">
      <c r="A245" s="62"/>
      <c r="B245" s="62"/>
      <c r="D245" s="62"/>
    </row>
    <row r="246" spans="1:4" ht="12.75">
      <c r="A246" s="62"/>
      <c r="B246" s="62"/>
      <c r="D246" s="62"/>
    </row>
    <row r="247" spans="1:4" ht="12.75">
      <c r="A247" s="62"/>
      <c r="B247" s="62"/>
      <c r="D247" s="62"/>
    </row>
    <row r="248" spans="1:4" ht="12.75">
      <c r="A248" s="62"/>
      <c r="B248" s="62"/>
      <c r="D248" s="62"/>
    </row>
    <row r="249" spans="1:4" ht="12.75">
      <c r="A249" s="62"/>
      <c r="B249" s="62"/>
      <c r="D249" s="62"/>
    </row>
    <row r="250" spans="1:4" ht="12.75">
      <c r="A250" s="62"/>
      <c r="B250" s="62"/>
      <c r="D250" s="62"/>
    </row>
    <row r="251" spans="1:4" ht="12.75">
      <c r="A251" s="62"/>
      <c r="B251" s="62"/>
      <c r="D251" s="62"/>
    </row>
    <row r="252" spans="1:4" ht="12.75">
      <c r="A252" s="64"/>
      <c r="B252" s="62"/>
      <c r="D252" s="62"/>
    </row>
    <row r="253" spans="1:4" ht="12.75">
      <c r="A253" s="64"/>
      <c r="B253" s="64"/>
      <c r="D253" s="62"/>
    </row>
    <row r="254" spans="1:4" ht="12.75">
      <c r="A254" s="64"/>
      <c r="B254" s="64"/>
      <c r="D254" s="62"/>
    </row>
    <row r="255" spans="1:4" ht="12.75">
      <c r="A255" s="64"/>
      <c r="B255" s="64"/>
      <c r="D255" s="62"/>
    </row>
    <row r="256" spans="1:4" ht="12.75">
      <c r="A256" s="64"/>
      <c r="B256" s="64"/>
      <c r="D256" s="62"/>
    </row>
    <row r="257" spans="1:4" ht="12.75">
      <c r="A257" s="64"/>
      <c r="B257" s="64"/>
      <c r="D257" s="62"/>
    </row>
    <row r="258" spans="1:4" ht="12.75">
      <c r="A258" s="64"/>
      <c r="B258" s="64"/>
      <c r="D258" s="62"/>
    </row>
    <row r="259" spans="1:4" ht="12.75">
      <c r="A259" s="64"/>
      <c r="B259" s="64"/>
      <c r="D259" s="62"/>
    </row>
    <row r="260" spans="1:4" ht="12.75">
      <c r="A260" s="64"/>
      <c r="B260" s="64"/>
      <c r="D260" s="62"/>
    </row>
    <row r="261" spans="1:4" ht="12.75">
      <c r="A261" s="64"/>
      <c r="B261" s="64"/>
      <c r="D261" s="62"/>
    </row>
    <row r="262" spans="1:5" ht="12.75">
      <c r="A262" s="64"/>
      <c r="B262" s="64"/>
      <c r="D262" s="62"/>
      <c r="E262" s="63"/>
    </row>
    <row r="263" spans="1:5" ht="12.75">
      <c r="A263" s="64"/>
      <c r="B263" s="64"/>
      <c r="D263" s="62"/>
      <c r="E263" s="63"/>
    </row>
    <row r="264" spans="1:4" ht="12.75">
      <c r="A264" s="64"/>
      <c r="B264" s="64"/>
      <c r="D264" s="62"/>
    </row>
    <row r="265" spans="1:5" ht="12.75">
      <c r="A265" s="64"/>
      <c r="B265" s="64"/>
      <c r="D265" s="62"/>
      <c r="E265" s="63"/>
    </row>
    <row r="266" spans="1:4" ht="12.75">
      <c r="A266" s="64"/>
      <c r="B266" s="64"/>
      <c r="D266" s="62"/>
    </row>
    <row r="267" spans="1:4" ht="12.75">
      <c r="A267" s="64"/>
      <c r="B267" s="64"/>
      <c r="D267" s="62"/>
    </row>
    <row r="268" spans="1:4" ht="12.75">
      <c r="A268" s="64"/>
      <c r="B268" s="64"/>
      <c r="D268" s="62"/>
    </row>
    <row r="269" spans="1:4" ht="12.75">
      <c r="A269" s="64"/>
      <c r="B269" s="64"/>
      <c r="D269" s="62"/>
    </row>
    <row r="270" spans="1:4" ht="12.75">
      <c r="A270" s="64"/>
      <c r="B270" s="64"/>
      <c r="D270" s="62"/>
    </row>
    <row r="271" spans="1:4" ht="12.75">
      <c r="A271" s="64"/>
      <c r="B271" s="64"/>
      <c r="D271" s="62"/>
    </row>
    <row r="272" spans="1:4" ht="12.75">
      <c r="A272" s="64"/>
      <c r="B272" s="64"/>
      <c r="D272" s="62"/>
    </row>
    <row r="273" spans="1:4" ht="12.75">
      <c r="A273" s="64"/>
      <c r="B273" s="64"/>
      <c r="D273" s="62"/>
    </row>
    <row r="274" spans="1:4" ht="12.75">
      <c r="A274" s="64"/>
      <c r="B274" s="64"/>
      <c r="D274" s="62"/>
    </row>
    <row r="275" spans="1:5" ht="12.75">
      <c r="A275" s="64"/>
      <c r="B275" s="64"/>
      <c r="D275" s="62"/>
      <c r="E275" s="63"/>
    </row>
    <row r="276" spans="1:5" ht="12.75">
      <c r="A276" s="64"/>
      <c r="B276" s="64"/>
      <c r="D276" s="62"/>
      <c r="E276" s="63"/>
    </row>
    <row r="277" spans="1:5" ht="12.75">
      <c r="A277" s="64"/>
      <c r="B277" s="64"/>
      <c r="D277" s="62"/>
      <c r="E277" s="63"/>
    </row>
    <row r="278" spans="1:4" ht="12.75">
      <c r="A278" s="64"/>
      <c r="B278" s="64"/>
      <c r="D278" s="62"/>
    </row>
    <row r="279" spans="1:4" ht="12.75">
      <c r="A279" s="64"/>
      <c r="B279" s="64"/>
      <c r="D279" s="62"/>
    </row>
    <row r="280" spans="1:4" ht="12.75">
      <c r="A280" s="64"/>
      <c r="B280" s="64"/>
      <c r="D280" s="62"/>
    </row>
    <row r="281" spans="1:4" ht="12.75">
      <c r="A281" s="64"/>
      <c r="B281" s="64"/>
      <c r="D281" s="62"/>
    </row>
    <row r="282" spans="1:4" ht="12.75">
      <c r="A282" s="64"/>
      <c r="B282" s="64"/>
      <c r="D282" s="62"/>
    </row>
    <row r="283" spans="1:4" ht="12.75">
      <c r="A283" s="64"/>
      <c r="B283" s="64"/>
      <c r="D283" s="62"/>
    </row>
    <row r="284" spans="1:4" ht="12.75">
      <c r="A284" s="64"/>
      <c r="B284" s="64"/>
      <c r="D284" s="62"/>
    </row>
    <row r="285" spans="1:4" ht="12.75">
      <c r="A285" s="64"/>
      <c r="B285" s="64"/>
      <c r="D285" s="62"/>
    </row>
    <row r="286" spans="1:4" ht="12.75">
      <c r="A286" s="64"/>
      <c r="B286" s="64"/>
      <c r="D286" s="62"/>
    </row>
    <row r="287" spans="1:4" ht="12.75">
      <c r="A287" s="64"/>
      <c r="B287" s="64"/>
      <c r="D287" s="62"/>
    </row>
    <row r="288" spans="1:4" ht="12.75">
      <c r="A288" s="64"/>
      <c r="B288" s="64"/>
      <c r="D288" s="62"/>
    </row>
    <row r="289" spans="1:4" ht="12.75">
      <c r="A289" s="64"/>
      <c r="B289" s="64"/>
      <c r="D289" s="62"/>
    </row>
    <row r="290" spans="1:4" ht="12.75">
      <c r="A290" s="64"/>
      <c r="B290" s="64"/>
      <c r="D290" s="62"/>
    </row>
    <row r="291" spans="1:4" ht="12.75">
      <c r="A291" s="64"/>
      <c r="B291" s="64"/>
      <c r="D291" s="62"/>
    </row>
    <row r="292" spans="1:4" ht="12.75">
      <c r="A292" s="62"/>
      <c r="B292" s="64"/>
      <c r="D292" s="62"/>
    </row>
    <row r="293" spans="1:4" ht="12.75">
      <c r="A293" s="62"/>
      <c r="B293" s="62"/>
      <c r="D293" s="62"/>
    </row>
    <row r="294" spans="1:4" ht="12.75">
      <c r="A294" s="62"/>
      <c r="B294" s="62"/>
      <c r="D294" s="62"/>
    </row>
    <row r="295" spans="1:4" ht="12.75">
      <c r="A295" s="62"/>
      <c r="B295" s="62"/>
      <c r="D295" s="62"/>
    </row>
    <row r="296" spans="1:4" ht="12.75">
      <c r="A296" s="62"/>
      <c r="B296" s="62"/>
      <c r="D296" s="62"/>
    </row>
    <row r="297" spans="1:4" ht="12.75">
      <c r="A297" s="62"/>
      <c r="B297" s="62"/>
      <c r="D297" s="62"/>
    </row>
    <row r="298" spans="1:4" ht="12.75">
      <c r="A298" s="62"/>
      <c r="B298" s="62"/>
      <c r="D298" s="62"/>
    </row>
    <row r="299" spans="1:4" ht="12.75">
      <c r="A299" s="62"/>
      <c r="B299" s="62"/>
      <c r="D299" s="62"/>
    </row>
    <row r="300" spans="1:4" ht="12.75">
      <c r="A300" s="62"/>
      <c r="B300" s="62"/>
      <c r="D300" s="62"/>
    </row>
    <row r="301" spans="1:4" ht="12.75">
      <c r="A301" s="62"/>
      <c r="B301" s="62"/>
      <c r="D301" s="62"/>
    </row>
    <row r="302" spans="1:4" ht="12.75">
      <c r="A302" s="62"/>
      <c r="B302" s="62"/>
      <c r="D302" s="62"/>
    </row>
    <row r="303" spans="1:4" ht="12.75">
      <c r="A303" s="62"/>
      <c r="B303" s="62"/>
      <c r="D303" s="62"/>
    </row>
    <row r="304" spans="1:4" ht="12.75">
      <c r="A304" s="62"/>
      <c r="B304" s="62"/>
      <c r="D304" s="62"/>
    </row>
    <row r="305" spans="1:4" ht="12.75">
      <c r="A305" s="62"/>
      <c r="B305" s="62"/>
      <c r="D305" s="62"/>
    </row>
    <row r="306" spans="1:4" ht="12.75">
      <c r="A306" s="62"/>
      <c r="B306" s="62"/>
      <c r="D306" s="62"/>
    </row>
    <row r="307" spans="1:4" ht="12.75">
      <c r="A307" s="62"/>
      <c r="B307" s="62"/>
      <c r="D307" s="62"/>
    </row>
    <row r="308" spans="1:4" ht="12.75">
      <c r="A308" s="62"/>
      <c r="B308" s="62"/>
      <c r="D308" s="62"/>
    </row>
    <row r="309" spans="1:4" ht="12.75">
      <c r="A309" s="62"/>
      <c r="B309" s="62"/>
      <c r="D309" s="62"/>
    </row>
    <row r="310" spans="1:4" ht="12.75">
      <c r="A310" s="62"/>
      <c r="B310" s="62"/>
      <c r="D310" s="62"/>
    </row>
    <row r="311" spans="1:4" ht="12.75">
      <c r="A311" s="62"/>
      <c r="B311" s="62"/>
      <c r="D311" s="62"/>
    </row>
    <row r="312" spans="1:4" ht="12.75">
      <c r="A312" s="62"/>
      <c r="B312" s="62"/>
      <c r="D312" s="62"/>
    </row>
    <row r="313" spans="1:4" ht="12.75">
      <c r="A313" s="62"/>
      <c r="B313" s="62"/>
      <c r="D313" s="62"/>
    </row>
    <row r="314" spans="1:4" ht="12.75">
      <c r="A314" s="62"/>
      <c r="B314" s="62"/>
      <c r="D314" s="62"/>
    </row>
    <row r="315" spans="1:4" ht="12.75">
      <c r="A315" s="62"/>
      <c r="B315" s="62"/>
      <c r="D315" s="62"/>
    </row>
    <row r="316" spans="1:4" ht="12.75">
      <c r="A316" s="62"/>
      <c r="B316" s="62"/>
      <c r="D316" s="62"/>
    </row>
    <row r="317" spans="1:4" ht="12.75">
      <c r="A317" s="62"/>
      <c r="B317" s="62"/>
      <c r="D317" s="62"/>
    </row>
    <row r="318" spans="1:4" ht="12.75">
      <c r="A318" s="62"/>
      <c r="B318" s="62"/>
      <c r="D318" s="62"/>
    </row>
    <row r="319" spans="1:4" ht="12.75">
      <c r="A319" s="62"/>
      <c r="B319" s="62"/>
      <c r="D319" s="62"/>
    </row>
    <row r="320" spans="1:4" ht="12.75">
      <c r="A320" s="62"/>
      <c r="B320" s="62"/>
      <c r="D320" s="62"/>
    </row>
    <row r="321" spans="1:4" ht="12.75">
      <c r="A321" s="62"/>
      <c r="B321" s="62"/>
      <c r="D321" s="62"/>
    </row>
    <row r="322" spans="1:4" ht="12.75">
      <c r="A322" s="62"/>
      <c r="B322" s="62"/>
      <c r="D322" s="62"/>
    </row>
    <row r="323" spans="1:4" ht="12.75">
      <c r="A323" s="62"/>
      <c r="B323" s="62"/>
      <c r="D323" s="62"/>
    </row>
    <row r="324" spans="1:4" ht="12.75">
      <c r="A324" s="62"/>
      <c r="B324" s="62"/>
      <c r="D324" s="62"/>
    </row>
    <row r="325" spans="1:4" ht="12.75">
      <c r="A325" s="62"/>
      <c r="B325" s="62"/>
      <c r="D325" s="62"/>
    </row>
    <row r="326" spans="1:4" ht="12.75">
      <c r="A326" s="62"/>
      <c r="B326" s="62"/>
      <c r="D326" s="62"/>
    </row>
    <row r="327" spans="1:4" ht="12.75">
      <c r="A327" s="62"/>
      <c r="B327" s="62"/>
      <c r="D327" s="62"/>
    </row>
    <row r="328" spans="1:4" ht="12.75">
      <c r="A328" s="62"/>
      <c r="B328" s="62"/>
      <c r="D328" s="62"/>
    </row>
    <row r="329" spans="1:4" ht="12.75">
      <c r="A329" s="62"/>
      <c r="B329" s="62"/>
      <c r="D329" s="62"/>
    </row>
    <row r="330" spans="1:4" ht="12.75">
      <c r="A330" s="62"/>
      <c r="B330" s="62"/>
      <c r="D330" s="62"/>
    </row>
    <row r="331" spans="1:4" ht="12.75">
      <c r="A331" s="62"/>
      <c r="B331" s="62"/>
      <c r="D331" s="62"/>
    </row>
    <row r="332" spans="1:4" ht="12.75">
      <c r="A332" s="62"/>
      <c r="B332" s="62"/>
      <c r="D332" s="62"/>
    </row>
    <row r="333" spans="1:4" ht="12.75">
      <c r="A333" s="62"/>
      <c r="B333" s="62"/>
      <c r="D333" s="62"/>
    </row>
    <row r="334" spans="1:4" ht="12.75">
      <c r="A334" s="62"/>
      <c r="B334" s="62"/>
      <c r="D334" s="62"/>
    </row>
    <row r="335" spans="1:4" ht="12.75">
      <c r="A335" s="62"/>
      <c r="B335" s="62"/>
      <c r="D335" s="62"/>
    </row>
    <row r="336" spans="1:4" ht="12.75">
      <c r="A336" s="62"/>
      <c r="B336" s="62"/>
      <c r="D336" s="62"/>
    </row>
    <row r="337" spans="1:4" ht="12.75">
      <c r="A337" s="62"/>
      <c r="B337" s="62"/>
      <c r="D337" s="62"/>
    </row>
    <row r="338" spans="1:4" ht="12.75">
      <c r="A338" s="62"/>
      <c r="B338" s="62"/>
      <c r="D338" s="62"/>
    </row>
    <row r="339" spans="1:4" ht="12.75">
      <c r="A339" s="62"/>
      <c r="B339" s="62"/>
      <c r="D339" s="62"/>
    </row>
    <row r="340" spans="1:4" ht="12.75">
      <c r="A340" s="62"/>
      <c r="B340" s="62"/>
      <c r="D340" s="62"/>
    </row>
    <row r="341" spans="1:4" ht="12.75">
      <c r="A341" s="62"/>
      <c r="B341" s="62"/>
      <c r="D341" s="62"/>
    </row>
    <row r="342" spans="1:4" ht="12.75">
      <c r="A342" s="62"/>
      <c r="B342" s="62"/>
      <c r="D342" s="62"/>
    </row>
    <row r="343" spans="1:4" ht="12.75">
      <c r="A343" s="62"/>
      <c r="B343" s="62"/>
      <c r="D343" s="62"/>
    </row>
    <row r="344" spans="1:4" ht="12.75">
      <c r="A344" s="62"/>
      <c r="B344" s="62"/>
      <c r="D344" s="62"/>
    </row>
    <row r="345" spans="1:4" ht="12.75">
      <c r="A345" s="62"/>
      <c r="B345" s="62"/>
      <c r="D345" s="62"/>
    </row>
    <row r="346" spans="1:4" ht="12.75">
      <c r="A346" s="62"/>
      <c r="B346" s="62"/>
      <c r="D346" s="62"/>
    </row>
    <row r="347" spans="1:4" ht="12.75">
      <c r="A347" s="62"/>
      <c r="B347" s="62"/>
      <c r="D347" s="62"/>
    </row>
    <row r="348" spans="1:4" ht="12.75">
      <c r="A348" s="62"/>
      <c r="B348" s="62"/>
      <c r="D348" s="62"/>
    </row>
    <row r="349" spans="1:4" ht="12.75">
      <c r="A349" s="62"/>
      <c r="B349" s="62"/>
      <c r="D349" s="62"/>
    </row>
    <row r="350" spans="1:4" ht="12.75">
      <c r="A350" s="62"/>
      <c r="B350" s="62"/>
      <c r="D350" s="62"/>
    </row>
    <row r="351" spans="1:4" ht="12.75">
      <c r="A351" s="62"/>
      <c r="B351" s="62"/>
      <c r="D351" s="62"/>
    </row>
    <row r="352" spans="1:4" ht="12.75">
      <c r="A352" s="62"/>
      <c r="B352" s="62"/>
      <c r="D352" s="62"/>
    </row>
    <row r="353" spans="1:4" ht="12.75">
      <c r="A353" s="62"/>
      <c r="B353" s="62"/>
      <c r="D353" s="62"/>
    </row>
    <row r="354" spans="1:4" ht="12.75">
      <c r="A354" s="62"/>
      <c r="B354" s="62"/>
      <c r="D354" s="62"/>
    </row>
    <row r="355" spans="1:4" ht="12.75">
      <c r="A355" s="62"/>
      <c r="B355" s="62"/>
      <c r="D355" s="62"/>
    </row>
    <row r="356" spans="1:4" ht="12.75">
      <c r="A356" s="62"/>
      <c r="B356" s="62"/>
      <c r="D356" s="62"/>
    </row>
    <row r="357" spans="1:4" ht="12.75">
      <c r="A357" s="62"/>
      <c r="B357" s="62"/>
      <c r="D357" s="62"/>
    </row>
    <row r="358" spans="1:4" ht="12.75">
      <c r="A358" s="62"/>
      <c r="B358" s="62"/>
      <c r="D358" s="62"/>
    </row>
    <row r="359" spans="1:4" ht="12.75">
      <c r="A359" s="62"/>
      <c r="B359" s="62"/>
      <c r="D359" s="62"/>
    </row>
    <row r="360" spans="1:4" ht="12.75">
      <c r="A360" s="62"/>
      <c r="B360" s="62"/>
      <c r="D360" s="62"/>
    </row>
    <row r="361" spans="1:4" ht="12.75">
      <c r="A361" s="62"/>
      <c r="B361" s="62"/>
      <c r="D361" s="62"/>
    </row>
    <row r="362" spans="1:4" ht="12.75">
      <c r="A362" s="62"/>
      <c r="B362" s="62"/>
      <c r="D362" s="62"/>
    </row>
    <row r="363" spans="1:4" ht="12.75">
      <c r="A363" s="62"/>
      <c r="B363" s="62"/>
      <c r="D363" s="62"/>
    </row>
    <row r="364" spans="1:4" ht="12.75">
      <c r="A364" s="62"/>
      <c r="B364" s="62"/>
      <c r="D364" s="62"/>
    </row>
    <row r="365" spans="1:4" ht="12.75">
      <c r="A365" s="62"/>
      <c r="B365" s="62"/>
      <c r="D365" s="62"/>
    </row>
    <row r="366" spans="1:4" ht="12.75">
      <c r="A366" s="62"/>
      <c r="B366" s="62"/>
      <c r="D366" s="62"/>
    </row>
    <row r="367" spans="1:4" ht="12.75">
      <c r="A367" s="62"/>
      <c r="B367" s="62"/>
      <c r="D367" s="62"/>
    </row>
    <row r="368" spans="1:4" ht="12.75">
      <c r="A368" s="62"/>
      <c r="B368" s="62"/>
      <c r="D368" s="62"/>
    </row>
    <row r="369" spans="1:4" ht="12.75">
      <c r="A369" s="62"/>
      <c r="B369" s="62"/>
      <c r="D369" s="62"/>
    </row>
    <row r="370" spans="1:4" ht="12.75">
      <c r="A370" s="62"/>
      <c r="B370" s="62"/>
      <c r="D370" s="62"/>
    </row>
    <row r="371" spans="1:4" ht="12.75">
      <c r="A371" s="62"/>
      <c r="B371" s="62"/>
      <c r="D371" s="62"/>
    </row>
    <row r="372" spans="1:4" ht="12.75">
      <c r="A372" s="62"/>
      <c r="B372" s="62"/>
      <c r="D372" s="62"/>
    </row>
    <row r="373" spans="1:4" ht="12.75">
      <c r="A373" s="62"/>
      <c r="B373" s="62"/>
      <c r="D373" s="62"/>
    </row>
    <row r="374" spans="1:4" ht="12.75">
      <c r="A374" s="62"/>
      <c r="B374" s="62"/>
      <c r="D374" s="62"/>
    </row>
    <row r="375" spans="1:4" ht="12.75">
      <c r="A375" s="62"/>
      <c r="B375" s="62"/>
      <c r="D375" s="62"/>
    </row>
    <row r="376" spans="1:4" ht="12.75">
      <c r="A376" s="62"/>
      <c r="B376" s="62"/>
      <c r="D376" s="62"/>
    </row>
    <row r="377" spans="1:4" ht="12.75">
      <c r="A377" s="62"/>
      <c r="B377" s="62"/>
      <c r="D377" s="62"/>
    </row>
    <row r="378" spans="1:4" ht="12.75">
      <c r="A378" s="62"/>
      <c r="B378" s="62"/>
      <c r="D378" s="62"/>
    </row>
    <row r="379" spans="1:4" ht="12.75">
      <c r="A379" s="62"/>
      <c r="B379" s="62"/>
      <c r="D379" s="62"/>
    </row>
    <row r="380" spans="1:4" ht="12.75">
      <c r="A380" s="62"/>
      <c r="B380" s="62"/>
      <c r="D380" s="62"/>
    </row>
    <row r="381" spans="1:4" ht="12.75">
      <c r="A381" s="62"/>
      <c r="B381" s="62"/>
      <c r="D381" s="62"/>
    </row>
    <row r="382" spans="1:4" ht="12.75">
      <c r="A382" s="62"/>
      <c r="B382" s="62"/>
      <c r="D382" s="62"/>
    </row>
    <row r="383" spans="1:4" ht="12.75">
      <c r="A383" s="62"/>
      <c r="B383" s="62"/>
      <c r="D383" s="62"/>
    </row>
    <row r="384" spans="1:4" ht="12.75">
      <c r="A384" s="62"/>
      <c r="B384" s="62"/>
      <c r="D384" s="62"/>
    </row>
    <row r="385" spans="1:4" ht="12.75">
      <c r="A385" s="62"/>
      <c r="B385" s="62"/>
      <c r="D385" s="62"/>
    </row>
    <row r="386" spans="1:4" ht="12.75">
      <c r="A386" s="62"/>
      <c r="B386" s="62"/>
      <c r="D386" s="62"/>
    </row>
    <row r="387" spans="1:4" ht="12.75">
      <c r="A387" s="62"/>
      <c r="B387" s="62"/>
      <c r="D387" s="62"/>
    </row>
    <row r="388" spans="1:4" ht="12.75">
      <c r="A388" s="62"/>
      <c r="B388" s="62"/>
      <c r="D388" s="62"/>
    </row>
    <row r="389" spans="1:4" ht="12.75">
      <c r="A389" s="62"/>
      <c r="B389" s="62"/>
      <c r="D389" s="62"/>
    </row>
    <row r="390" spans="1:4" ht="12.75">
      <c r="A390" s="62"/>
      <c r="B390" s="62"/>
      <c r="D390" s="62"/>
    </row>
    <row r="391" spans="1:4" ht="12.75">
      <c r="A391" s="62"/>
      <c r="B391" s="62"/>
      <c r="D391" s="62"/>
    </row>
    <row r="392" spans="1:4" ht="12.75">
      <c r="A392" s="62"/>
      <c r="B392" s="62"/>
      <c r="D392" s="62"/>
    </row>
    <row r="393" spans="1:4" ht="12.75">
      <c r="A393" s="62"/>
      <c r="B393" s="62"/>
      <c r="D393" s="62"/>
    </row>
    <row r="394" spans="1:4" ht="12.75">
      <c r="A394" s="62"/>
      <c r="B394" s="62"/>
      <c r="D394" s="62"/>
    </row>
    <row r="395" spans="1:4" ht="12.75">
      <c r="A395" s="62"/>
      <c r="B395" s="62"/>
      <c r="D395" s="62"/>
    </row>
    <row r="396" spans="1:4" ht="12.75">
      <c r="A396" s="62"/>
      <c r="B396" s="62"/>
      <c r="D396" s="62"/>
    </row>
    <row r="397" spans="1:4" ht="12.75">
      <c r="A397" s="62"/>
      <c r="B397" s="62"/>
      <c r="D397" s="62"/>
    </row>
    <row r="398" spans="1:4" ht="12.75">
      <c r="A398" s="62"/>
      <c r="B398" s="62"/>
      <c r="D398" s="62"/>
    </row>
    <row r="399" spans="1:4" ht="12.75">
      <c r="A399" s="62"/>
      <c r="B399" s="62"/>
      <c r="D399" s="62"/>
    </row>
    <row r="400" spans="1:4" ht="12.75">
      <c r="A400" s="62"/>
      <c r="B400" s="62"/>
      <c r="D400" s="62"/>
    </row>
    <row r="401" spans="1:4" ht="12.75">
      <c r="A401" s="62"/>
      <c r="B401" s="62"/>
      <c r="D401" s="62"/>
    </row>
    <row r="402" spans="1:4" ht="12.75">
      <c r="A402" s="62"/>
      <c r="B402" s="62"/>
      <c r="D402" s="62"/>
    </row>
    <row r="403" spans="1:4" ht="12.75">
      <c r="A403" s="62"/>
      <c r="B403" s="62"/>
      <c r="D403" s="62"/>
    </row>
    <row r="404" spans="1:4" ht="12.75">
      <c r="A404" s="62"/>
      <c r="B404" s="62"/>
      <c r="D404" s="62"/>
    </row>
    <row r="405" spans="1:4" ht="12.75">
      <c r="A405" s="62"/>
      <c r="B405" s="62"/>
      <c r="D405" s="62"/>
    </row>
    <row r="406" spans="1:4" ht="12.75">
      <c r="A406" s="62"/>
      <c r="B406" s="62"/>
      <c r="D406" s="62"/>
    </row>
    <row r="407" spans="1:4" ht="12.75">
      <c r="A407" s="62"/>
      <c r="B407" s="62"/>
      <c r="D407" s="62"/>
    </row>
    <row r="408" spans="1:4" ht="12.75">
      <c r="A408" s="62"/>
      <c r="B408" s="62"/>
      <c r="D408" s="62"/>
    </row>
    <row r="409" spans="1:4" ht="12.75">
      <c r="A409" s="62"/>
      <c r="B409" s="62"/>
      <c r="D409" s="62"/>
    </row>
    <row r="410" spans="1:4" ht="12.75">
      <c r="A410" s="62"/>
      <c r="B410" s="62"/>
      <c r="D410" s="62"/>
    </row>
    <row r="411" spans="1:4" ht="12.75">
      <c r="A411" s="62"/>
      <c r="B411" s="62"/>
      <c r="D411" s="62"/>
    </row>
    <row r="412" spans="1:4" ht="12.75">
      <c r="A412" s="62"/>
      <c r="B412" s="62"/>
      <c r="D412" s="62"/>
    </row>
    <row r="413" spans="1:4" ht="12.75">
      <c r="A413" s="62"/>
      <c r="B413" s="62"/>
      <c r="D413" s="62"/>
    </row>
    <row r="414" spans="1:4" ht="12.75">
      <c r="A414" s="62"/>
      <c r="B414" s="62"/>
      <c r="D414" s="62"/>
    </row>
    <row r="415" spans="1:4" ht="12.75">
      <c r="A415" s="62"/>
      <c r="B415" s="62"/>
      <c r="D415" s="62"/>
    </row>
    <row r="416" spans="1:4" ht="12.75">
      <c r="A416" s="62"/>
      <c r="B416" s="62"/>
      <c r="D416" s="62"/>
    </row>
    <row r="417" spans="1:4" ht="12.75">
      <c r="A417" s="62"/>
      <c r="B417" s="62"/>
      <c r="D417" s="62"/>
    </row>
    <row r="418" spans="1:4" ht="12.75">
      <c r="A418" s="62"/>
      <c r="B418" s="62"/>
      <c r="D418" s="62"/>
    </row>
    <row r="419" spans="1:4" ht="12.75">
      <c r="A419" s="62"/>
      <c r="B419" s="62"/>
      <c r="D419" s="62"/>
    </row>
    <row r="420" spans="1:4" ht="12.75">
      <c r="A420" s="62"/>
      <c r="B420" s="62"/>
      <c r="D420" s="62"/>
    </row>
    <row r="421" spans="1:4" ht="12.75">
      <c r="A421" s="62"/>
      <c r="B421" s="62"/>
      <c r="D421" s="62"/>
    </row>
    <row r="422" spans="1:4" ht="12.75">
      <c r="A422" s="62"/>
      <c r="B422" s="62"/>
      <c r="D422" s="62"/>
    </row>
    <row r="423" spans="1:4" ht="12.75">
      <c r="A423" s="62"/>
      <c r="B423" s="62"/>
      <c r="D423" s="62"/>
    </row>
    <row r="424" spans="1:4" ht="12.75">
      <c r="A424" s="62"/>
      <c r="B424" s="62"/>
      <c r="D424" s="62"/>
    </row>
    <row r="425" spans="1:4" ht="12.75">
      <c r="A425" s="62"/>
      <c r="B425" s="62"/>
      <c r="D425" s="62"/>
    </row>
    <row r="426" spans="1:4" ht="12.75">
      <c r="A426" s="62"/>
      <c r="B426" s="62"/>
      <c r="D426" s="62"/>
    </row>
    <row r="427" spans="1:4" ht="12.75">
      <c r="A427" s="62"/>
      <c r="B427" s="62"/>
      <c r="D427" s="62"/>
    </row>
    <row r="428" spans="1:4" ht="12.75">
      <c r="A428" s="62"/>
      <c r="B428" s="62"/>
      <c r="D428" s="62"/>
    </row>
    <row r="429" spans="1:4" ht="12.75">
      <c r="A429" s="62"/>
      <c r="B429" s="62"/>
      <c r="D429" s="62"/>
    </row>
    <row r="430" spans="1:4" ht="12.75">
      <c r="A430" s="62"/>
      <c r="B430" s="62"/>
      <c r="D430" s="62"/>
    </row>
    <row r="431" spans="1:4" ht="12.75">
      <c r="A431" s="62"/>
      <c r="B431" s="62"/>
      <c r="D431" s="62"/>
    </row>
    <row r="432" spans="1:4" ht="12.75">
      <c r="A432" s="62"/>
      <c r="B432" s="62"/>
      <c r="D432" s="62"/>
    </row>
    <row r="433" spans="1:4" ht="12.75">
      <c r="A433" s="62"/>
      <c r="B433" s="62"/>
      <c r="D433" s="62"/>
    </row>
    <row r="434" spans="1:4" ht="12.75">
      <c r="A434" s="62"/>
      <c r="B434" s="62"/>
      <c r="D434" s="62"/>
    </row>
    <row r="435" spans="1:4" ht="12.75">
      <c r="A435" s="62"/>
      <c r="B435" s="62"/>
      <c r="D435" s="62"/>
    </row>
    <row r="436" spans="1:4" ht="12.75">
      <c r="A436" s="62"/>
      <c r="B436" s="62"/>
      <c r="D436" s="62"/>
    </row>
    <row r="437" spans="1:4" ht="12.75">
      <c r="A437" s="62"/>
      <c r="B437" s="62"/>
      <c r="D437" s="62"/>
    </row>
    <row r="438" spans="1:4" ht="12.75">
      <c r="A438" s="62"/>
      <c r="B438" s="62"/>
      <c r="D438" s="62"/>
    </row>
    <row r="439" spans="1:4" ht="12.75">
      <c r="A439" s="62"/>
      <c r="B439" s="62"/>
      <c r="D439" s="62"/>
    </row>
    <row r="440" spans="1:4" ht="12.75">
      <c r="A440" s="62"/>
      <c r="B440" s="62"/>
      <c r="D440" s="62"/>
    </row>
    <row r="441" spans="1:4" ht="12.75">
      <c r="A441" s="62"/>
      <c r="B441" s="62"/>
      <c r="D441" s="62"/>
    </row>
    <row r="442" spans="1:4" ht="12.75">
      <c r="A442" s="62"/>
      <c r="B442" s="62"/>
      <c r="D442" s="62"/>
    </row>
    <row r="443" spans="1:4" ht="12.75">
      <c r="A443" s="62"/>
      <c r="B443" s="62"/>
      <c r="D443" s="62"/>
    </row>
    <row r="444" spans="1:4" ht="12.75">
      <c r="A444" s="62"/>
      <c r="B444" s="62"/>
      <c r="D444" s="62"/>
    </row>
    <row r="445" spans="2:4" ht="12.75">
      <c r="B445" s="62"/>
      <c r="D445" s="62"/>
    </row>
  </sheetData>
  <sheetProtection/>
  <printOptions/>
  <pageMargins left="0.2875" right="0.2875" top="0.7875" bottom="0.7875" header="0.5" footer="0.5"/>
  <pageSetup fitToHeight="0" horizontalDpi="300" verticalDpi="300" orientation="landscape" paperSize="5" r:id="rId1"/>
  <rowBreaks count="2" manualBreakCount="2">
    <brk id="35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2013-02-07T06:27:22Z</cp:lastPrinted>
  <dcterms:created xsi:type="dcterms:W3CDTF">2002-07-29T20:54:49Z</dcterms:created>
  <dcterms:modified xsi:type="dcterms:W3CDTF">2013-02-07T08:46:32Z</dcterms:modified>
  <cp:category/>
  <cp:version/>
  <cp:contentType/>
  <cp:contentStatus/>
  <cp:revision>1</cp:revision>
</cp:coreProperties>
</file>