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'Sheet1'!$1:$9</definedName>
    <definedName name="_xlnm.Print_Titles" localSheetId="1">'Sheet2'!$1:$8</definedName>
  </definedNames>
  <calcPr fullCalcOnLoad="1"/>
</workbook>
</file>

<file path=xl/sharedStrings.xml><?xml version="1.0" encoding="utf-8"?>
<sst xmlns="http://schemas.openxmlformats.org/spreadsheetml/2006/main" count="595" uniqueCount="164">
  <si>
    <t>PERSONAL SERVICES</t>
  </si>
  <si>
    <t>Object</t>
  </si>
  <si>
    <t>Code</t>
  </si>
  <si>
    <t>Allotment</t>
  </si>
  <si>
    <t>Salaries - Regular Pay</t>
  </si>
  <si>
    <t>701</t>
  </si>
  <si>
    <t>Salaries - Casual &amp; Contractual</t>
  </si>
  <si>
    <t>706</t>
  </si>
  <si>
    <t>Substitute</t>
  </si>
  <si>
    <t>704</t>
  </si>
  <si>
    <t>PERA</t>
  </si>
  <si>
    <t>711</t>
  </si>
  <si>
    <t>ACA</t>
  </si>
  <si>
    <t>712</t>
  </si>
  <si>
    <t>Representation Allowance</t>
  </si>
  <si>
    <t>713</t>
  </si>
  <si>
    <t>Transportation Allowance</t>
  </si>
  <si>
    <t>714</t>
  </si>
  <si>
    <t>Clothing/Uniform Allowance</t>
  </si>
  <si>
    <t>715</t>
  </si>
  <si>
    <t>Honoraria</t>
  </si>
  <si>
    <t>720</t>
  </si>
  <si>
    <t>Christmas Bonus</t>
  </si>
  <si>
    <t>725</t>
  </si>
  <si>
    <t>Cash Gift</t>
  </si>
  <si>
    <t>724</t>
  </si>
  <si>
    <t>Productivity Incentive Bonus</t>
  </si>
  <si>
    <t>717</t>
  </si>
  <si>
    <t>Other Bon &amp; Allo.(Magna-Carta)</t>
  </si>
  <si>
    <t>740</t>
  </si>
  <si>
    <t>Employ. Comp. Ins. Prem.-RLIP</t>
  </si>
  <si>
    <t>731</t>
  </si>
  <si>
    <t>PAG-IBIG Contributions</t>
  </si>
  <si>
    <t>732</t>
  </si>
  <si>
    <t>Medicare Contributions</t>
  </si>
  <si>
    <t>733</t>
  </si>
  <si>
    <t>Employees Comp. Ins. Prem.-ECIP</t>
  </si>
  <si>
    <t>734</t>
  </si>
  <si>
    <t>Pension and Retirement Benefits</t>
  </si>
  <si>
    <t>Terminal Leave Benefits</t>
  </si>
  <si>
    <t>742</t>
  </si>
  <si>
    <t>Longevity Pay (Step Increment)</t>
  </si>
  <si>
    <t>722</t>
  </si>
  <si>
    <t xml:space="preserve"> </t>
  </si>
  <si>
    <t>Travelling Expense</t>
  </si>
  <si>
    <t>Communication Services</t>
  </si>
  <si>
    <t>Transportation Services</t>
  </si>
  <si>
    <t>Supplies &amp; Materials</t>
  </si>
  <si>
    <t>Rent Expenses</t>
  </si>
  <si>
    <t>Water/Power/Light /Expense</t>
  </si>
  <si>
    <t>Trng. &amp; Seminar Expense</t>
  </si>
  <si>
    <t>Extra-Ordinary &amp; Misc. Expense</t>
  </si>
  <si>
    <t>Advertising Expense</t>
  </si>
  <si>
    <t>Total</t>
  </si>
  <si>
    <t>Noted by:</t>
  </si>
  <si>
    <t>CIPRIANO C. CONSOLACION</t>
  </si>
  <si>
    <t xml:space="preserve">         President</t>
  </si>
  <si>
    <t>Amount</t>
  </si>
  <si>
    <t>Obligated</t>
  </si>
  <si>
    <t>Printing &amp; Binding</t>
  </si>
  <si>
    <t>Mem. Dues and cont. to Org.</t>
  </si>
  <si>
    <t>Other Professional Expense</t>
  </si>
  <si>
    <t>Repair &amp; Maint. Of Bldng. &amp; Structures</t>
  </si>
  <si>
    <t>A. PROGRAM</t>
  </si>
  <si>
    <t>1. General Administration &amp; Support</t>
  </si>
  <si>
    <t xml:space="preserve">     a. General Administration &amp; support Services</t>
  </si>
  <si>
    <t>P/A/P Allotment Class</t>
  </si>
  <si>
    <t>Received</t>
  </si>
  <si>
    <t>(2)</t>
  </si>
  <si>
    <t>(1)</t>
  </si>
  <si>
    <t xml:space="preserve">       Obligations Incurred</t>
  </si>
  <si>
    <t>This Report</t>
  </si>
  <si>
    <t>To Date</t>
  </si>
  <si>
    <t>Unobligated Balance of</t>
  </si>
  <si>
    <t>Remarks</t>
  </si>
  <si>
    <t>(3)</t>
  </si>
  <si>
    <t>(4)</t>
  </si>
  <si>
    <t>(5)</t>
  </si>
  <si>
    <t>(6)</t>
  </si>
  <si>
    <t>MAINTENANCE &amp; OTHER OPTNG EXPENSES</t>
  </si>
  <si>
    <t>Sub-total</t>
  </si>
  <si>
    <t>CAPITAL OUTLAY</t>
  </si>
  <si>
    <t xml:space="preserve"> a. Land and Land Improvement Outlay</t>
  </si>
  <si>
    <t xml:space="preserve"> b. Building &amp; Structures Outlay</t>
  </si>
  <si>
    <t xml:space="preserve"> c. Investment Outlay</t>
  </si>
  <si>
    <t xml:space="preserve">                             Sub-total</t>
  </si>
  <si>
    <t>TOTAL</t>
  </si>
  <si>
    <t>PRIOR YEAR'S BUDGET (Continuing Appropriation)</t>
  </si>
  <si>
    <t xml:space="preserve">                           Sub-total</t>
  </si>
  <si>
    <t>GRAND TOTAL</t>
  </si>
  <si>
    <t>II. Support to Operations</t>
  </si>
  <si>
    <t xml:space="preserve">   a. Auxillary Services</t>
  </si>
  <si>
    <t xml:space="preserve"> TOTAL</t>
  </si>
  <si>
    <t>III. Operations</t>
  </si>
  <si>
    <t xml:space="preserve">  a. Advanced Education Services</t>
  </si>
  <si>
    <r>
      <t xml:space="preserve">Agency       : </t>
    </r>
    <r>
      <rPr>
        <b/>
        <sz val="10"/>
        <rFont val="Arial Black"/>
        <family val="2"/>
      </rPr>
      <t>BENGUET STATE UNIVERSITY</t>
    </r>
  </si>
  <si>
    <t>Department: State Universities and Colleges</t>
  </si>
  <si>
    <t>FUND          : General Fund</t>
  </si>
  <si>
    <t>b. Higher Education Services</t>
  </si>
  <si>
    <t xml:space="preserve">    1. MAIN Campus</t>
  </si>
  <si>
    <t xml:space="preserve">   2. BOKOD CAMPUS</t>
  </si>
  <si>
    <t xml:space="preserve">   3. BUGUIAS CAMPUS</t>
  </si>
  <si>
    <t>C. Research Services</t>
  </si>
  <si>
    <t xml:space="preserve">  d. Extension Services</t>
  </si>
  <si>
    <t xml:space="preserve"> c. Equipment</t>
  </si>
  <si>
    <t>TOTAL OPERATIONS</t>
  </si>
  <si>
    <t>TOTAL - Support to OPERATIONS</t>
  </si>
  <si>
    <t xml:space="preserve"> b. Building &amp; Structures Outlay/Investment Outlay</t>
  </si>
  <si>
    <t>Overtime Pay</t>
  </si>
  <si>
    <t>Salaries  &amp; Wages -Substitutes</t>
  </si>
  <si>
    <t>Scholarship Expense</t>
  </si>
  <si>
    <t>Scholarship Expenses</t>
  </si>
  <si>
    <t>Capital Outlay</t>
  </si>
  <si>
    <t xml:space="preserve">   Building &amp; Structures Outlay</t>
  </si>
  <si>
    <t xml:space="preserve"> a. Equipment</t>
  </si>
  <si>
    <t>Reviewed:</t>
  </si>
  <si>
    <t>Overtime Service</t>
  </si>
  <si>
    <t>Monetization</t>
  </si>
  <si>
    <t>Hazard Pay</t>
  </si>
  <si>
    <t>Monetization of Leave Credits</t>
  </si>
  <si>
    <t>Contractual Instructor</t>
  </si>
  <si>
    <t>Overtime pay</t>
  </si>
  <si>
    <t>Overtime &amp; Night Pay</t>
  </si>
  <si>
    <t>Water/Power/Light Expense</t>
  </si>
  <si>
    <t>Terminal Benefits</t>
  </si>
  <si>
    <t>Loyalty Bonus</t>
  </si>
  <si>
    <t>Productivity Enhancement Incentive</t>
  </si>
  <si>
    <t xml:space="preserve">Productivity Enhancement Incentive </t>
  </si>
  <si>
    <t>Retirement Gratuity</t>
  </si>
  <si>
    <t>Retirement  Gratuity</t>
  </si>
  <si>
    <t>/final copy</t>
  </si>
  <si>
    <t>Chief Administrative Officer</t>
  </si>
  <si>
    <t>Collective Negotiation Agreement</t>
  </si>
  <si>
    <t>Anniversary Bonus</t>
  </si>
  <si>
    <t>Overtime and Night Pay</t>
  </si>
  <si>
    <t xml:space="preserve">  Certified Correct:</t>
  </si>
  <si>
    <t>Concurred in:</t>
  </si>
  <si>
    <t xml:space="preserve">        ESTRELLITA M. DACLAN</t>
  </si>
  <si>
    <t>MARY JOY S. RAPUSO</t>
  </si>
  <si>
    <t xml:space="preserve">          Supervising Administrative Officer</t>
  </si>
  <si>
    <t>Advertising Services</t>
  </si>
  <si>
    <t>BEN D. LADILAD</t>
  </si>
  <si>
    <t>Salaries - Contractual</t>
  </si>
  <si>
    <t>Salaries - Emergency</t>
  </si>
  <si>
    <t>Salaries- Substitute</t>
  </si>
  <si>
    <t xml:space="preserve">Repair &amp; Maint. </t>
  </si>
  <si>
    <t>Salaries &amp; Wages - Contractual</t>
  </si>
  <si>
    <t xml:space="preserve">MOOE </t>
  </si>
  <si>
    <t>Grand Total</t>
  </si>
  <si>
    <t>Add: CONTINUING APPROPRIATION</t>
  </si>
  <si>
    <t>TOTAL CONTINUING APPROPRIATION</t>
  </si>
  <si>
    <t>Building and Structure Outlay</t>
  </si>
  <si>
    <t>Advertising Expenses</t>
  </si>
  <si>
    <t>Salaries -Contractual</t>
  </si>
  <si>
    <t>Repair &amp; Maint</t>
  </si>
  <si>
    <t>Honorarium</t>
  </si>
  <si>
    <t>STATEMENT OF ALLOTMENT, OBLIGATIONS AND BALANCES</t>
  </si>
  <si>
    <t xml:space="preserve"> SUMMARY OF STATEMENT OF ALLOTMENT, OBLIGATIONS AND BALANCES</t>
  </si>
  <si>
    <t>Calamity Assistance</t>
  </si>
  <si>
    <t>Terminal Leave</t>
  </si>
  <si>
    <t>as  of DECEMBER 31, 2012</t>
  </si>
  <si>
    <t>Productivity Enhancement Bonus</t>
  </si>
  <si>
    <t>Collective Negotiation Agrrement</t>
  </si>
  <si>
    <t>/veron 02/08/13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</si>
</sst>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_(* #,##0.00_);_(* \(#,##0.00\);_(* \-??_);_(@_)"/>
    <numFmt numFmtId="179" formatCode="_(* #,##0_);_(* \(#,##0\);_(* \-??_);_(@_)"/>
    <numFmt numFmtId="180" formatCode="_(* #,##0.000_);_(* \(#,##0.000\);_(* \-??_);_(@_)"/>
    <numFmt numFmtId="181" formatCode="_(* #,##0.0000_);_(* \(#,##0.0000\);_(* \-??_);_(@_)"/>
    <numFmt numFmtId="182" formatCode="_(* #,##0.0_);_(* \(#,##0.0\);_(* \-??_);_(@_)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8" fontId="0" fillId="0" borderId="0" applyFon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4" fillId="0" borderId="0" xfId="42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78" fontId="1" fillId="0" borderId="0" xfId="42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8" fontId="1" fillId="0" borderId="0" xfId="42" applyFont="1" applyFill="1" applyBorder="1" applyAlignment="1" applyProtection="1">
      <alignment/>
      <protection/>
    </xf>
    <xf numFmtId="178" fontId="1" fillId="0" borderId="0" xfId="0" applyNumberFormat="1" applyFont="1" applyFill="1" applyBorder="1" applyAlignment="1">
      <alignment/>
    </xf>
    <xf numFmtId="178" fontId="5" fillId="0" borderId="0" xfId="42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8" fontId="5" fillId="0" borderId="0" xfId="42" applyFont="1" applyFill="1" applyBorder="1" applyAlignment="1" applyProtection="1">
      <alignment horizontal="right"/>
      <protection/>
    </xf>
    <xf numFmtId="178" fontId="5" fillId="0" borderId="0" xfId="42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178" fontId="1" fillId="0" borderId="0" xfId="42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Font="1" applyFill="1" applyBorder="1" applyAlignment="1" applyProtection="1">
      <alignment/>
      <protection/>
    </xf>
    <xf numFmtId="178" fontId="0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8" fontId="4" fillId="0" borderId="10" xfId="42" applyFont="1" applyFill="1" applyBorder="1" applyAlignment="1" applyProtection="1">
      <alignment/>
      <protection/>
    </xf>
    <xf numFmtId="178" fontId="4" fillId="0" borderId="0" xfId="0" applyNumberFormat="1" applyFont="1" applyBorder="1" applyAlignment="1">
      <alignment/>
    </xf>
    <xf numFmtId="178" fontId="9" fillId="0" borderId="0" xfId="42" applyFont="1" applyFill="1" applyBorder="1" applyAlignment="1" applyProtection="1">
      <alignment/>
      <protection/>
    </xf>
    <xf numFmtId="17" fontId="6" fillId="0" borderId="0" xfId="0" applyNumberFormat="1" applyFont="1" applyFill="1" applyBorder="1" applyAlignment="1">
      <alignment/>
    </xf>
    <xf numFmtId="178" fontId="5" fillId="0" borderId="10" xfId="42" applyFont="1" applyFill="1" applyBorder="1" applyAlignment="1" applyProtection="1">
      <alignment/>
      <protection/>
    </xf>
    <xf numFmtId="178" fontId="1" fillId="0" borderId="11" xfId="42" applyFont="1" applyFill="1" applyBorder="1" applyAlignment="1" applyProtection="1">
      <alignment/>
      <protection/>
    </xf>
    <xf numFmtId="178" fontId="10" fillId="0" borderId="0" xfId="42" applyFont="1" applyFill="1" applyBorder="1" applyAlignment="1" applyProtection="1">
      <alignment/>
      <protection/>
    </xf>
    <xf numFmtId="178" fontId="11" fillId="0" borderId="0" xfId="42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178" fontId="5" fillId="0" borderId="13" xfId="42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8" fontId="5" fillId="0" borderId="14" xfId="42" applyFont="1" applyFill="1" applyBorder="1" applyAlignment="1" applyProtection="1">
      <alignment/>
      <protection/>
    </xf>
    <xf numFmtId="0" fontId="5" fillId="0" borderId="15" xfId="0" applyFont="1" applyFill="1" applyBorder="1" applyAlignment="1">
      <alignment horizontal="center"/>
    </xf>
    <xf numFmtId="178" fontId="5" fillId="0" borderId="15" xfId="42" applyFont="1" applyFill="1" applyBorder="1" applyAlignment="1" applyProtection="1">
      <alignment horizontal="center"/>
      <protection/>
    </xf>
    <xf numFmtId="178" fontId="5" fillId="0" borderId="16" xfId="42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8" fontId="5" fillId="0" borderId="17" xfId="42" applyFont="1" applyFill="1" applyBorder="1" applyAlignment="1" applyProtection="1">
      <alignment/>
      <protection/>
    </xf>
    <xf numFmtId="178" fontId="5" fillId="0" borderId="17" xfId="42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78" fontId="5" fillId="0" borderId="18" xfId="42" applyFont="1" applyFill="1" applyBorder="1" applyAlignment="1" applyProtection="1">
      <alignment/>
      <protection/>
    </xf>
    <xf numFmtId="0" fontId="5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8" fontId="5" fillId="0" borderId="19" xfId="42" applyFont="1" applyFill="1" applyBorder="1" applyAlignment="1" applyProtection="1">
      <alignment/>
      <protection/>
    </xf>
    <xf numFmtId="0" fontId="5" fillId="0" borderId="1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78" fontId="5" fillId="0" borderId="24" xfId="42" applyFont="1" applyFill="1" applyBorder="1" applyAlignment="1" applyProtection="1">
      <alignment/>
      <protection/>
    </xf>
    <xf numFmtId="178" fontId="5" fillId="0" borderId="22" xfId="42" applyFont="1" applyFill="1" applyBorder="1" applyAlignment="1" applyProtection="1">
      <alignment/>
      <protection/>
    </xf>
    <xf numFmtId="178" fontId="5" fillId="0" borderId="25" xfId="42" applyFont="1" applyFill="1" applyBorder="1" applyAlignment="1" applyProtection="1">
      <alignment/>
      <protection/>
    </xf>
    <xf numFmtId="0" fontId="5" fillId="0" borderId="26" xfId="0" applyFont="1" applyBorder="1" applyAlignment="1">
      <alignment horizontal="center"/>
    </xf>
    <xf numFmtId="178" fontId="5" fillId="0" borderId="27" xfId="42" applyFont="1" applyFill="1" applyBorder="1" applyAlignment="1" applyProtection="1">
      <alignment/>
      <protection/>
    </xf>
    <xf numFmtId="0" fontId="5" fillId="0" borderId="19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178" fontId="5" fillId="0" borderId="23" xfId="42" applyFont="1" applyFill="1" applyBorder="1" applyAlignment="1" applyProtection="1">
      <alignment/>
      <protection/>
    </xf>
    <xf numFmtId="178" fontId="5" fillId="0" borderId="25" xfId="0" applyNumberFormat="1" applyFont="1" applyFill="1" applyBorder="1" applyAlignment="1">
      <alignment/>
    </xf>
    <xf numFmtId="178" fontId="5" fillId="0" borderId="29" xfId="42" applyFont="1" applyFill="1" applyBorder="1" applyAlignment="1" applyProtection="1">
      <alignment/>
      <protection/>
    </xf>
    <xf numFmtId="178" fontId="5" fillId="0" borderId="21" xfId="42" applyFont="1" applyFill="1" applyBorder="1" applyAlignment="1" applyProtection="1">
      <alignment/>
      <protection/>
    </xf>
    <xf numFmtId="178" fontId="5" fillId="0" borderId="28" xfId="42" applyFont="1" applyFill="1" applyBorder="1" applyAlignment="1" applyProtection="1">
      <alignment/>
      <protection/>
    </xf>
    <xf numFmtId="178" fontId="5" fillId="0" borderId="30" xfId="42" applyFont="1" applyFill="1" applyBorder="1" applyAlignment="1" applyProtection="1">
      <alignment/>
      <protection/>
    </xf>
    <xf numFmtId="178" fontId="5" fillId="0" borderId="31" xfId="42" applyFont="1" applyFill="1" applyBorder="1" applyAlignment="1" applyProtection="1">
      <alignment/>
      <protection/>
    </xf>
    <xf numFmtId="0" fontId="5" fillId="0" borderId="30" xfId="0" applyFont="1" applyFill="1" applyBorder="1" applyAlignment="1">
      <alignment horizontal="center"/>
    </xf>
    <xf numFmtId="178" fontId="5" fillId="0" borderId="12" xfId="42" applyFont="1" applyFill="1" applyBorder="1" applyAlignment="1" applyProtection="1">
      <alignment/>
      <protection/>
    </xf>
    <xf numFmtId="178" fontId="5" fillId="0" borderId="32" xfId="42" applyFont="1" applyFill="1" applyBorder="1" applyAlignment="1" applyProtection="1">
      <alignment/>
      <protection/>
    </xf>
    <xf numFmtId="0" fontId="5" fillId="0" borderId="2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178" fontId="5" fillId="0" borderId="34" xfId="42" applyFont="1" applyFill="1" applyBorder="1" applyAlignment="1" applyProtection="1">
      <alignment/>
      <protection/>
    </xf>
    <xf numFmtId="0" fontId="5" fillId="0" borderId="35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37" xfId="0" applyFont="1" applyFill="1" applyBorder="1" applyAlignment="1">
      <alignment horizontal="center"/>
    </xf>
    <xf numFmtId="178" fontId="5" fillId="0" borderId="37" xfId="42" applyFont="1" applyFill="1" applyBorder="1" applyAlignment="1" applyProtection="1">
      <alignment/>
      <protection/>
    </xf>
    <xf numFmtId="0" fontId="5" fillId="0" borderId="38" xfId="0" applyFont="1" applyFill="1" applyBorder="1" applyAlignment="1">
      <alignment/>
    </xf>
    <xf numFmtId="178" fontId="4" fillId="0" borderId="0" xfId="0" applyNumberFormat="1" applyFont="1" applyBorder="1" applyAlignment="1">
      <alignment horizontal="center"/>
    </xf>
    <xf numFmtId="178" fontId="4" fillId="0" borderId="0" xfId="42" applyFont="1" applyBorder="1" applyAlignment="1">
      <alignment/>
    </xf>
    <xf numFmtId="178" fontId="4" fillId="0" borderId="0" xfId="42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78" fontId="5" fillId="0" borderId="39" xfId="42" applyFont="1" applyFill="1" applyBorder="1" applyAlignment="1" applyProtection="1">
      <alignment/>
      <protection/>
    </xf>
    <xf numFmtId="0" fontId="5" fillId="0" borderId="23" xfId="0" applyFont="1" applyFill="1" applyBorder="1" applyAlignment="1" quotePrefix="1">
      <alignment horizontal="center"/>
    </xf>
    <xf numFmtId="178" fontId="5" fillId="0" borderId="40" xfId="42" applyFont="1" applyFill="1" applyBorder="1" applyAlignment="1" applyProtection="1">
      <alignment/>
      <protection/>
    </xf>
    <xf numFmtId="178" fontId="5" fillId="0" borderId="41" xfId="42" applyFont="1" applyFill="1" applyBorder="1" applyAlignment="1" applyProtection="1">
      <alignment horizontal="center"/>
      <protection/>
    </xf>
    <xf numFmtId="178" fontId="5" fillId="0" borderId="42" xfId="42" applyFont="1" applyFill="1" applyBorder="1" applyAlignment="1" applyProtection="1">
      <alignment/>
      <protection/>
    </xf>
    <xf numFmtId="178" fontId="5" fillId="0" borderId="17" xfId="0" applyNumberFormat="1" applyFont="1" applyFill="1" applyBorder="1" applyAlignment="1">
      <alignment/>
    </xf>
    <xf numFmtId="178" fontId="5" fillId="0" borderId="43" xfId="42" applyFont="1" applyFill="1" applyBorder="1" applyAlignment="1" applyProtection="1">
      <alignment/>
      <protection/>
    </xf>
    <xf numFmtId="0" fontId="5" fillId="0" borderId="31" xfId="0" applyFont="1" applyFill="1" applyBorder="1" applyAlignment="1">
      <alignment horizontal="center"/>
    </xf>
    <xf numFmtId="178" fontId="5" fillId="0" borderId="44" xfId="42" applyFont="1" applyFill="1" applyBorder="1" applyAlignment="1" applyProtection="1">
      <alignment/>
      <protection/>
    </xf>
    <xf numFmtId="178" fontId="5" fillId="0" borderId="45" xfId="42" applyFont="1" applyFill="1" applyBorder="1" applyAlignment="1" applyProtection="1">
      <alignment/>
      <protection/>
    </xf>
    <xf numFmtId="0" fontId="5" fillId="0" borderId="23" xfId="0" applyFont="1" applyFill="1" applyBorder="1" applyAlignment="1">
      <alignment horizontal="center"/>
    </xf>
    <xf numFmtId="178" fontId="5" fillId="0" borderId="46" xfId="42" applyFont="1" applyFill="1" applyBorder="1" applyAlignment="1" applyProtection="1">
      <alignment/>
      <protection/>
    </xf>
    <xf numFmtId="178" fontId="5" fillId="0" borderId="47" xfId="42" applyFont="1" applyFill="1" applyBorder="1" applyAlignment="1" applyProtection="1">
      <alignment/>
      <protection/>
    </xf>
    <xf numFmtId="178" fontId="5" fillId="0" borderId="48" xfId="42" applyFont="1" applyFill="1" applyBorder="1" applyAlignment="1" applyProtection="1">
      <alignment/>
      <protection/>
    </xf>
    <xf numFmtId="0" fontId="6" fillId="0" borderId="49" xfId="0" applyFont="1" applyFill="1" applyBorder="1" applyAlignment="1" quotePrefix="1">
      <alignment/>
    </xf>
    <xf numFmtId="178" fontId="0" fillId="0" borderId="0" xfId="42" applyFont="1" applyAlignment="1">
      <alignment/>
    </xf>
    <xf numFmtId="0" fontId="5" fillId="0" borderId="50" xfId="0" applyFont="1" applyFill="1" applyBorder="1" applyAlignment="1">
      <alignment horizontal="center"/>
    </xf>
    <xf numFmtId="178" fontId="5" fillId="0" borderId="50" xfId="42" applyFont="1" applyFill="1" applyBorder="1" applyAlignment="1" applyProtection="1">
      <alignment/>
      <protection/>
    </xf>
    <xf numFmtId="178" fontId="5" fillId="0" borderId="51" xfId="42" applyFont="1" applyFill="1" applyBorder="1" applyAlignment="1" applyProtection="1">
      <alignment/>
      <protection/>
    </xf>
    <xf numFmtId="0" fontId="5" fillId="0" borderId="52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center"/>
    </xf>
    <xf numFmtId="178" fontId="5" fillId="0" borderId="53" xfId="42" applyFont="1" applyFill="1" applyBorder="1" applyAlignment="1" applyProtection="1">
      <alignment/>
      <protection/>
    </xf>
    <xf numFmtId="178" fontId="5" fillId="0" borderId="54" xfId="42" applyFont="1" applyFill="1" applyBorder="1" applyAlignment="1" applyProtection="1">
      <alignment/>
      <protection/>
    </xf>
    <xf numFmtId="0" fontId="5" fillId="0" borderId="55" xfId="0" applyFont="1" applyFill="1" applyBorder="1" applyAlignment="1">
      <alignment horizontal="left"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78" fontId="2" fillId="0" borderId="0" xfId="42" applyFont="1" applyFill="1" applyBorder="1" applyAlignment="1" applyProtection="1">
      <alignment/>
      <protection/>
    </xf>
    <xf numFmtId="0" fontId="5" fillId="0" borderId="57" xfId="0" applyFont="1" applyFill="1" applyBorder="1" applyAlignment="1">
      <alignment/>
    </xf>
    <xf numFmtId="178" fontId="5" fillId="0" borderId="58" xfId="42" applyFont="1" applyFill="1" applyBorder="1" applyAlignment="1" applyProtection="1">
      <alignment/>
      <protection/>
    </xf>
    <xf numFmtId="0" fontId="5" fillId="0" borderId="59" xfId="0" applyFont="1" applyFill="1" applyBorder="1" applyAlignment="1">
      <alignment/>
    </xf>
    <xf numFmtId="178" fontId="5" fillId="0" borderId="60" xfId="42" applyFont="1" applyFill="1" applyBorder="1" applyAlignment="1" applyProtection="1">
      <alignment/>
      <protection/>
    </xf>
    <xf numFmtId="0" fontId="5" fillId="0" borderId="61" xfId="0" applyFont="1" applyFill="1" applyBorder="1" applyAlignment="1">
      <alignment/>
    </xf>
    <xf numFmtId="15" fontId="2" fillId="0" borderId="0" xfId="0" applyNumberFormat="1" applyFont="1" applyFill="1" applyBorder="1" applyAlignment="1" quotePrefix="1">
      <alignment/>
    </xf>
    <xf numFmtId="0" fontId="5" fillId="0" borderId="58" xfId="0" applyFont="1" applyFill="1" applyBorder="1" applyAlignment="1">
      <alignment horizontal="center"/>
    </xf>
    <xf numFmtId="0" fontId="5" fillId="0" borderId="57" xfId="0" applyFont="1" applyFill="1" applyBorder="1" applyAlignment="1" quotePrefix="1">
      <alignment/>
    </xf>
    <xf numFmtId="0" fontId="5" fillId="0" borderId="5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left"/>
    </xf>
    <xf numFmtId="178" fontId="5" fillId="0" borderId="63" xfId="42" applyFont="1" applyFill="1" applyBorder="1" applyAlignment="1" applyProtection="1">
      <alignment/>
      <protection/>
    </xf>
    <xf numFmtId="0" fontId="5" fillId="0" borderId="64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178" fontId="5" fillId="0" borderId="67" xfId="42" applyFont="1" applyFill="1" applyBorder="1" applyAlignment="1" applyProtection="1">
      <alignment/>
      <protection/>
    </xf>
    <xf numFmtId="0" fontId="5" fillId="0" borderId="68" xfId="0" applyFont="1" applyFill="1" applyBorder="1" applyAlignment="1">
      <alignment horizontal="center"/>
    </xf>
    <xf numFmtId="178" fontId="5" fillId="0" borderId="69" xfId="42" applyFont="1" applyFill="1" applyBorder="1" applyAlignment="1" applyProtection="1">
      <alignment horizontal="center"/>
      <protection/>
    </xf>
    <xf numFmtId="0" fontId="5" fillId="0" borderId="64" xfId="0" applyFont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0" borderId="51" xfId="0" applyFont="1" applyFill="1" applyBorder="1" applyAlignment="1">
      <alignment/>
    </xf>
    <xf numFmtId="178" fontId="5" fillId="0" borderId="51" xfId="42" applyFont="1" applyFill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55" xfId="0" applyFont="1" applyFill="1" applyBorder="1" applyAlignment="1" quotePrefix="1">
      <alignment/>
    </xf>
    <xf numFmtId="0" fontId="5" fillId="0" borderId="71" xfId="0" applyFont="1" applyFill="1" applyBorder="1" applyAlignment="1">
      <alignment/>
    </xf>
    <xf numFmtId="0" fontId="5" fillId="0" borderId="59" xfId="0" applyFont="1" applyFill="1" applyBorder="1" applyAlignment="1">
      <alignment horizontal="center"/>
    </xf>
    <xf numFmtId="0" fontId="5" fillId="0" borderId="62" xfId="0" applyFont="1" applyBorder="1" applyAlignment="1">
      <alignment/>
    </xf>
    <xf numFmtId="178" fontId="5" fillId="0" borderId="72" xfId="42" applyFont="1" applyFill="1" applyBorder="1" applyAlignment="1" applyProtection="1">
      <alignment/>
      <protection/>
    </xf>
    <xf numFmtId="0" fontId="5" fillId="0" borderId="38" xfId="0" applyFont="1" applyFill="1" applyBorder="1" applyAlignment="1" quotePrefix="1">
      <alignment/>
    </xf>
    <xf numFmtId="178" fontId="5" fillId="0" borderId="73" xfId="42" applyFont="1" applyFill="1" applyBorder="1" applyAlignment="1" applyProtection="1">
      <alignment horizontal="center"/>
      <protection/>
    </xf>
    <xf numFmtId="0" fontId="5" fillId="0" borderId="74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178" fontId="5" fillId="0" borderId="77" xfId="42" applyFont="1" applyFill="1" applyBorder="1" applyAlignment="1" applyProtection="1">
      <alignment/>
      <protection/>
    </xf>
    <xf numFmtId="0" fontId="5" fillId="0" borderId="78" xfId="0" applyFont="1" applyFill="1" applyBorder="1" applyAlignment="1">
      <alignment/>
    </xf>
    <xf numFmtId="0" fontId="5" fillId="0" borderId="79" xfId="0" applyFont="1" applyFill="1" applyBorder="1" applyAlignment="1">
      <alignment/>
    </xf>
    <xf numFmtId="178" fontId="5" fillId="0" borderId="80" xfId="42" applyFont="1" applyFill="1" applyBorder="1" applyAlignment="1" applyProtection="1">
      <alignment/>
      <protection/>
    </xf>
    <xf numFmtId="0" fontId="5" fillId="0" borderId="78" xfId="0" applyFont="1" applyFill="1" applyBorder="1" applyAlignment="1">
      <alignment horizontal="center"/>
    </xf>
    <xf numFmtId="178" fontId="5" fillId="0" borderId="81" xfId="42" applyFont="1" applyFill="1" applyBorder="1" applyAlignment="1" applyProtection="1">
      <alignment/>
      <protection/>
    </xf>
    <xf numFmtId="0" fontId="5" fillId="0" borderId="67" xfId="0" applyFont="1" applyFill="1" applyBorder="1" applyAlignment="1">
      <alignment/>
    </xf>
    <xf numFmtId="0" fontId="6" fillId="0" borderId="67" xfId="0" applyFont="1" applyBorder="1" applyAlignment="1">
      <alignment/>
    </xf>
    <xf numFmtId="0" fontId="6" fillId="0" borderId="51" xfId="0" applyFont="1" applyBorder="1" applyAlignment="1">
      <alignment/>
    </xf>
    <xf numFmtId="0" fontId="5" fillId="0" borderId="52" xfId="0" applyFont="1" applyFill="1" applyBorder="1" applyAlignment="1">
      <alignment/>
    </xf>
    <xf numFmtId="178" fontId="5" fillId="0" borderId="82" xfId="42" applyFont="1" applyFill="1" applyBorder="1" applyAlignment="1" applyProtection="1">
      <alignment/>
      <protection/>
    </xf>
    <xf numFmtId="0" fontId="5" fillId="0" borderId="83" xfId="0" applyFont="1" applyFill="1" applyBorder="1" applyAlignment="1">
      <alignment horizontal="center"/>
    </xf>
    <xf numFmtId="0" fontId="5" fillId="0" borderId="83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/>
    </xf>
    <xf numFmtId="178" fontId="4" fillId="0" borderId="84" xfId="42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78" fontId="1" fillId="0" borderId="14" xfId="42" applyFont="1" applyFill="1" applyBorder="1" applyAlignment="1" applyProtection="1">
      <alignment/>
      <protection/>
    </xf>
    <xf numFmtId="0" fontId="46" fillId="31" borderId="85" xfId="56" applyBorder="1" applyAlignment="1">
      <alignment/>
    </xf>
    <xf numFmtId="0" fontId="46" fillId="31" borderId="86" xfId="56" applyBorder="1" applyAlignment="1">
      <alignment horizontal="center"/>
    </xf>
    <xf numFmtId="0" fontId="46" fillId="31" borderId="43" xfId="56" applyBorder="1" applyAlignment="1">
      <alignment horizontal="left"/>
    </xf>
    <xf numFmtId="0" fontId="46" fillId="31" borderId="87" xfId="56" applyBorder="1" applyAlignment="1">
      <alignment horizontal="center"/>
    </xf>
    <xf numFmtId="0" fontId="46" fillId="31" borderId="85" xfId="56" applyBorder="1" applyAlignment="1">
      <alignment horizontal="center"/>
    </xf>
    <xf numFmtId="0" fontId="46" fillId="31" borderId="88" xfId="56" applyBorder="1" applyAlignment="1">
      <alignment horizontal="center"/>
    </xf>
    <xf numFmtId="0" fontId="46" fillId="31" borderId="89" xfId="56" applyBorder="1" applyAlignment="1">
      <alignment horizontal="center"/>
    </xf>
    <xf numFmtId="0" fontId="46" fillId="31" borderId="90" xfId="56" applyBorder="1" applyAlignment="1">
      <alignment horizontal="center"/>
    </xf>
    <xf numFmtId="0" fontId="46" fillId="31" borderId="91" xfId="56" applyBorder="1" applyAlignment="1">
      <alignment horizontal="center"/>
    </xf>
    <xf numFmtId="0" fontId="46" fillId="31" borderId="74" xfId="56" applyBorder="1" applyAlignment="1">
      <alignment horizontal="center"/>
    </xf>
    <xf numFmtId="0" fontId="46" fillId="31" borderId="38" xfId="56" applyBorder="1" applyAlignment="1">
      <alignment horizontal="center"/>
    </xf>
    <xf numFmtId="0" fontId="46" fillId="31" borderId="92" xfId="56" applyBorder="1" applyAlignment="1">
      <alignment horizontal="center"/>
    </xf>
    <xf numFmtId="0" fontId="46" fillId="31" borderId="93" xfId="56" applyBorder="1" applyAlignment="1" quotePrefix="1">
      <alignment/>
    </xf>
    <xf numFmtId="0" fontId="46" fillId="31" borderId="94" xfId="56" applyBorder="1" applyAlignment="1">
      <alignment horizontal="center"/>
    </xf>
    <xf numFmtId="0" fontId="46" fillId="31" borderId="94" xfId="56" applyBorder="1" applyAlignment="1" quotePrefix="1">
      <alignment horizontal="center"/>
    </xf>
    <xf numFmtId="0" fontId="46" fillId="31" borderId="95" xfId="56" applyBorder="1" applyAlignment="1" quotePrefix="1">
      <alignment horizontal="center"/>
    </xf>
    <xf numFmtId="0" fontId="46" fillId="31" borderId="96" xfId="56" applyBorder="1" applyAlignment="1">
      <alignment horizontal="center"/>
    </xf>
    <xf numFmtId="0" fontId="46" fillId="31" borderId="97" xfId="56" applyBorder="1" applyAlignment="1" quotePrefix="1">
      <alignment horizontal="center"/>
    </xf>
    <xf numFmtId="0" fontId="46" fillId="31" borderId="98" xfId="56" applyBorder="1" applyAlignment="1" quotePrefix="1">
      <alignment horizontal="center"/>
    </xf>
    <xf numFmtId="0" fontId="51" fillId="31" borderId="85" xfId="56" applyFont="1" applyBorder="1" applyAlignment="1">
      <alignment horizontal="center"/>
    </xf>
    <xf numFmtId="0" fontId="46" fillId="31" borderId="67" xfId="56" applyBorder="1" applyAlignment="1">
      <alignment horizontal="center"/>
    </xf>
    <xf numFmtId="0" fontId="46" fillId="31" borderId="77" xfId="56" applyBorder="1" applyAlignment="1" quotePrefix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99" xfId="0" applyFont="1" applyFill="1" applyBorder="1" applyAlignment="1">
      <alignment/>
    </xf>
    <xf numFmtId="178" fontId="5" fillId="0" borderId="95" xfId="42" applyFont="1" applyFill="1" applyBorder="1" applyAlignment="1" applyProtection="1">
      <alignment horizontal="center"/>
      <protection/>
    </xf>
    <xf numFmtId="178" fontId="5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duser\Documents\dbm-%20reports%202011\Copy%20of%20SAOBGFdec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201" sqref="D201"/>
    </sheetView>
  </sheetViews>
  <sheetFormatPr defaultColWidth="9.00390625" defaultRowHeight="12.75"/>
  <cols>
    <col min="1" max="1" width="44.8515625" style="1" customWidth="1"/>
    <col min="2" max="2" width="6.00390625" style="1" customWidth="1"/>
    <col min="3" max="3" width="15.140625" style="1" customWidth="1"/>
    <col min="4" max="4" width="14.00390625" style="1" customWidth="1"/>
    <col min="5" max="5" width="16.140625" style="1" customWidth="1"/>
    <col min="6" max="6" width="19.421875" style="1" customWidth="1"/>
    <col min="7" max="7" width="17.8515625" style="1" customWidth="1"/>
    <col min="8" max="8" width="13.28125" style="1" customWidth="1"/>
    <col min="9" max="9" width="14.7109375" style="1" customWidth="1"/>
    <col min="10" max="10" width="14.140625" style="1" customWidth="1"/>
    <col min="11" max="11" width="13.140625" style="1" customWidth="1"/>
    <col min="12" max="12" width="12.57421875" style="1" customWidth="1"/>
    <col min="13" max="13" width="14.421875" style="1" customWidth="1"/>
    <col min="14" max="16384" width="9.00390625" style="1" customWidth="1"/>
  </cols>
  <sheetData>
    <row r="1" spans="1:7" s="2" customFormat="1" ht="19.5">
      <c r="A1" s="217" t="s">
        <v>156</v>
      </c>
      <c r="B1" s="217"/>
      <c r="C1" s="217"/>
      <c r="D1" s="217"/>
      <c r="E1" s="217"/>
      <c r="F1" s="217"/>
      <c r="G1" s="217"/>
    </row>
    <row r="2" spans="1:10" s="2" customFormat="1" ht="19.5">
      <c r="A2" s="217" t="s">
        <v>160</v>
      </c>
      <c r="B2" s="217"/>
      <c r="C2" s="217"/>
      <c r="D2" s="217"/>
      <c r="E2" s="217"/>
      <c r="F2" s="217"/>
      <c r="G2" s="217"/>
      <c r="H2" s="3"/>
      <c r="I2" s="3"/>
      <c r="J2" s="3"/>
    </row>
    <row r="3" spans="1:10" s="2" customFormat="1" ht="19.5">
      <c r="A3" s="7" t="s">
        <v>96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5">
      <c r="A4" s="2" t="s">
        <v>95</v>
      </c>
    </row>
    <row r="5" spans="1:2" s="2" customFormat="1" ht="15">
      <c r="A5" s="2" t="s">
        <v>97</v>
      </c>
      <c r="B5" s="5"/>
    </row>
    <row r="6" spans="1:12" s="2" customFormat="1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21" s="7" customFormat="1" ht="15.75" thickBot="1">
      <c r="A7" s="191"/>
      <c r="B7" s="192" t="s">
        <v>1</v>
      </c>
      <c r="C7" s="192" t="s">
        <v>3</v>
      </c>
      <c r="D7" s="193" t="s">
        <v>70</v>
      </c>
      <c r="E7" s="194"/>
      <c r="F7" s="210" t="s">
        <v>73</v>
      </c>
      <c r="G7" s="19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</row>
    <row r="8" spans="1:21" s="7" customFormat="1" ht="15">
      <c r="A8" s="197" t="s">
        <v>66</v>
      </c>
      <c r="B8" s="198" t="s">
        <v>2</v>
      </c>
      <c r="C8" s="199" t="s">
        <v>67</v>
      </c>
      <c r="D8" s="200" t="s">
        <v>71</v>
      </c>
      <c r="E8" s="200" t="s">
        <v>72</v>
      </c>
      <c r="F8" s="201" t="s">
        <v>3</v>
      </c>
      <c r="G8" s="202" t="s">
        <v>74</v>
      </c>
      <c r="H8" s="11"/>
      <c r="I8" s="11"/>
      <c r="J8" s="11"/>
      <c r="K8" s="11"/>
      <c r="L8" s="11"/>
      <c r="M8" s="11"/>
      <c r="N8" s="9"/>
      <c r="O8" s="9"/>
      <c r="P8" s="9"/>
      <c r="Q8" s="9"/>
      <c r="R8" s="9"/>
      <c r="S8" s="9"/>
      <c r="T8" s="9"/>
      <c r="U8" s="10"/>
    </row>
    <row r="9" spans="1:20" s="7" customFormat="1" ht="12" customHeight="1" thickBot="1">
      <c r="A9" s="203" t="s">
        <v>69</v>
      </c>
      <c r="B9" s="204"/>
      <c r="C9" s="205" t="s">
        <v>68</v>
      </c>
      <c r="D9" s="205" t="s">
        <v>75</v>
      </c>
      <c r="E9" s="205" t="s">
        <v>76</v>
      </c>
      <c r="F9" s="205" t="s">
        <v>77</v>
      </c>
      <c r="G9" s="206" t="s">
        <v>78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7" customFormat="1" ht="12" customHeight="1">
      <c r="A10" s="139" t="s">
        <v>63</v>
      </c>
      <c r="B10" s="67"/>
      <c r="C10" s="67"/>
      <c r="D10" s="67"/>
      <c r="E10" s="67"/>
      <c r="F10" s="67"/>
      <c r="G10" s="145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7" customFormat="1" ht="12" customHeight="1">
      <c r="A11" s="146" t="s">
        <v>64</v>
      </c>
      <c r="B11" s="67"/>
      <c r="C11" s="67"/>
      <c r="D11" s="67"/>
      <c r="E11" s="67"/>
      <c r="F11" s="67"/>
      <c r="G11" s="145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7" customFormat="1" ht="12" customHeight="1">
      <c r="A12" s="139" t="s">
        <v>65</v>
      </c>
      <c r="B12" s="67"/>
      <c r="C12" s="67"/>
      <c r="D12" s="67"/>
      <c r="E12" s="67"/>
      <c r="F12" s="67"/>
      <c r="G12" s="145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7" customFormat="1" ht="12" customHeight="1">
      <c r="A13" s="133" t="s">
        <v>0</v>
      </c>
      <c r="B13" s="65"/>
      <c r="C13" s="65"/>
      <c r="D13" s="65"/>
      <c r="E13" s="65"/>
      <c r="F13" s="65"/>
      <c r="G13" s="14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13" s="7" customFormat="1" ht="12.75" customHeight="1">
      <c r="A14" s="148" t="s">
        <v>4</v>
      </c>
      <c r="B14" s="57" t="s">
        <v>5</v>
      </c>
      <c r="C14" s="58">
        <f>19664000+2079000+1203000+1954344</f>
        <v>24900344</v>
      </c>
      <c r="D14" s="58">
        <f>2031528.53+8181.37+1263548.76+1135832.06+11127.37+130000</f>
        <v>4580218.090000001</v>
      </c>
      <c r="E14" s="58">
        <f>19664000+2079000+1203000+1954344</f>
        <v>24900344</v>
      </c>
      <c r="F14" s="58">
        <f aca="true" t="shared" si="0" ref="F14:F37">SUM(C14-E14)</f>
        <v>0</v>
      </c>
      <c r="G14" s="149"/>
      <c r="H14" s="14"/>
      <c r="I14" s="14"/>
      <c r="J14" s="14"/>
      <c r="K14" s="14"/>
      <c r="L14" s="14"/>
      <c r="M14" s="14"/>
    </row>
    <row r="15" spans="1:13" s="7" customFormat="1" ht="12.75" customHeight="1">
      <c r="A15" s="148" t="s">
        <v>144</v>
      </c>
      <c r="B15" s="57">
        <v>704</v>
      </c>
      <c r="C15" s="58"/>
      <c r="D15" s="58"/>
      <c r="E15" s="63"/>
      <c r="F15" s="58">
        <f t="shared" si="0"/>
        <v>0</v>
      </c>
      <c r="G15" s="149"/>
      <c r="H15" s="14"/>
      <c r="I15" s="14"/>
      <c r="J15" s="14"/>
      <c r="K15" s="14"/>
      <c r="L15" s="14"/>
      <c r="M15" s="14"/>
    </row>
    <row r="16" spans="1:13" s="7" customFormat="1" ht="12.75" customHeight="1">
      <c r="A16" s="148" t="s">
        <v>142</v>
      </c>
      <c r="B16" s="57">
        <v>706</v>
      </c>
      <c r="C16" s="58"/>
      <c r="D16" s="58"/>
      <c r="E16" s="58"/>
      <c r="F16" s="58">
        <f t="shared" si="0"/>
        <v>0</v>
      </c>
      <c r="G16" s="149"/>
      <c r="H16" s="14"/>
      <c r="I16" s="14"/>
      <c r="J16" s="14"/>
      <c r="K16" s="14"/>
      <c r="L16" s="14"/>
      <c r="M16" s="14"/>
    </row>
    <row r="17" spans="1:13" s="7" customFormat="1" ht="12.75" customHeight="1">
      <c r="A17" s="150" t="s">
        <v>10</v>
      </c>
      <c r="B17" s="56" t="s">
        <v>11</v>
      </c>
      <c r="C17" s="58">
        <v>2352000</v>
      </c>
      <c r="D17" s="58">
        <v>199259.7</v>
      </c>
      <c r="E17" s="58">
        <v>2352000</v>
      </c>
      <c r="F17" s="58">
        <f t="shared" si="0"/>
        <v>0</v>
      </c>
      <c r="G17" s="149"/>
      <c r="H17" s="14"/>
      <c r="I17" s="14"/>
      <c r="J17" s="14"/>
      <c r="K17" s="14"/>
      <c r="L17" s="14"/>
      <c r="M17" s="14"/>
    </row>
    <row r="18" spans="1:13" s="7" customFormat="1" ht="12.75" customHeight="1">
      <c r="A18" s="150" t="s">
        <v>12</v>
      </c>
      <c r="B18" s="56" t="s">
        <v>13</v>
      </c>
      <c r="C18" s="58"/>
      <c r="D18" s="58"/>
      <c r="E18" s="58"/>
      <c r="F18" s="58">
        <f t="shared" si="0"/>
        <v>0</v>
      </c>
      <c r="G18" s="149"/>
      <c r="H18" s="14"/>
      <c r="I18" s="14"/>
      <c r="J18" s="14"/>
      <c r="K18" s="14"/>
      <c r="L18" s="14"/>
      <c r="M18" s="14"/>
    </row>
    <row r="19" spans="1:13" s="7" customFormat="1" ht="12.75" customHeight="1">
      <c r="A19" s="150" t="s">
        <v>14</v>
      </c>
      <c r="B19" s="56" t="s">
        <v>15</v>
      </c>
      <c r="C19" s="58">
        <v>200500</v>
      </c>
      <c r="D19" s="58"/>
      <c r="E19" s="58">
        <v>200500</v>
      </c>
      <c r="F19" s="58">
        <f t="shared" si="0"/>
        <v>0</v>
      </c>
      <c r="G19" s="149"/>
      <c r="H19" s="14"/>
      <c r="I19" s="14"/>
      <c r="J19" s="14"/>
      <c r="K19" s="14"/>
      <c r="L19" s="14"/>
      <c r="M19" s="14"/>
    </row>
    <row r="20" spans="1:13" s="7" customFormat="1" ht="12.75" customHeight="1">
      <c r="A20" s="150" t="s">
        <v>16</v>
      </c>
      <c r="B20" s="56" t="s">
        <v>17</v>
      </c>
      <c r="C20" s="58">
        <v>200500</v>
      </c>
      <c r="D20" s="58"/>
      <c r="E20" s="58">
        <v>200500</v>
      </c>
      <c r="F20" s="58">
        <f t="shared" si="0"/>
        <v>0</v>
      </c>
      <c r="G20" s="149"/>
      <c r="H20" s="14"/>
      <c r="I20" s="14"/>
      <c r="J20" s="14"/>
      <c r="K20" s="14"/>
      <c r="L20" s="14"/>
      <c r="M20" s="14"/>
    </row>
    <row r="21" spans="1:13" s="7" customFormat="1" ht="12.75" customHeight="1">
      <c r="A21" s="150" t="s">
        <v>18</v>
      </c>
      <c r="B21" s="56" t="s">
        <v>19</v>
      </c>
      <c r="C21" s="58">
        <f>392000+97000</f>
        <v>489000</v>
      </c>
      <c r="D21" s="58"/>
      <c r="E21" s="58">
        <f>392000+97000</f>
        <v>489000</v>
      </c>
      <c r="F21" s="58">
        <f t="shared" si="0"/>
        <v>0</v>
      </c>
      <c r="G21" s="149"/>
      <c r="H21" s="14"/>
      <c r="I21" s="14"/>
      <c r="J21" s="14"/>
      <c r="K21" s="14"/>
      <c r="L21" s="14"/>
      <c r="M21" s="14"/>
    </row>
    <row r="22" spans="1:13" s="7" customFormat="1" ht="12.75" customHeight="1">
      <c r="A22" s="150" t="s">
        <v>116</v>
      </c>
      <c r="B22" s="56">
        <v>723</v>
      </c>
      <c r="C22" s="58"/>
      <c r="D22" s="58"/>
      <c r="E22" s="58"/>
      <c r="F22" s="58">
        <f t="shared" si="0"/>
        <v>0</v>
      </c>
      <c r="G22" s="149"/>
      <c r="H22" s="14"/>
      <c r="I22" s="14"/>
      <c r="J22" s="14"/>
      <c r="K22" s="14"/>
      <c r="L22" s="14"/>
      <c r="M22" s="14"/>
    </row>
    <row r="23" spans="1:13" s="7" customFormat="1" ht="12.75" customHeight="1">
      <c r="A23" s="150" t="s">
        <v>22</v>
      </c>
      <c r="B23" s="56" t="s">
        <v>23</v>
      </c>
      <c r="C23" s="58">
        <f>1629000+174000+172000</f>
        <v>1975000</v>
      </c>
      <c r="D23" s="58"/>
      <c r="E23" s="58">
        <f>1629000+174000+172000</f>
        <v>1975000</v>
      </c>
      <c r="F23" s="58">
        <f t="shared" si="0"/>
        <v>0</v>
      </c>
      <c r="G23" s="149"/>
      <c r="H23" s="14"/>
      <c r="I23" s="14"/>
      <c r="J23" s="14"/>
      <c r="K23" s="14"/>
      <c r="L23" s="14"/>
      <c r="M23" s="14"/>
    </row>
    <row r="24" spans="1:13" s="7" customFormat="1" ht="12.75" customHeight="1">
      <c r="A24" s="150" t="s">
        <v>24</v>
      </c>
      <c r="B24" s="56" t="s">
        <v>25</v>
      </c>
      <c r="C24" s="58">
        <v>500000</v>
      </c>
      <c r="D24" s="58"/>
      <c r="E24" s="58">
        <v>500000</v>
      </c>
      <c r="F24" s="58">
        <f t="shared" si="0"/>
        <v>0</v>
      </c>
      <c r="G24" s="149"/>
      <c r="H24" s="14"/>
      <c r="I24" s="14"/>
      <c r="J24" s="14"/>
      <c r="K24" s="14"/>
      <c r="L24" s="14"/>
      <c r="M24" s="14"/>
    </row>
    <row r="25" spans="1:13" s="7" customFormat="1" ht="12.75" customHeight="1">
      <c r="A25" s="150" t="s">
        <v>26</v>
      </c>
      <c r="B25" s="56" t="s">
        <v>27</v>
      </c>
      <c r="C25" s="58">
        <v>196000</v>
      </c>
      <c r="D25" s="58"/>
      <c r="E25" s="58">
        <v>196000</v>
      </c>
      <c r="F25" s="58">
        <f t="shared" si="0"/>
        <v>0</v>
      </c>
      <c r="G25" s="149"/>
      <c r="H25" s="14"/>
      <c r="I25" s="14"/>
      <c r="J25" s="14"/>
      <c r="K25" s="14"/>
      <c r="L25" s="14"/>
      <c r="M25" s="14"/>
    </row>
    <row r="26" spans="1:13" s="7" customFormat="1" ht="12.75" customHeight="1">
      <c r="A26" s="150" t="s">
        <v>30</v>
      </c>
      <c r="B26" s="56" t="s">
        <v>31</v>
      </c>
      <c r="C26" s="58">
        <f>2360000+250000+144000+184102</f>
        <v>2938102</v>
      </c>
      <c r="D26" s="58">
        <v>193539.26</v>
      </c>
      <c r="E26" s="58">
        <f>2360000+250000+144000+184102</f>
        <v>2938102</v>
      </c>
      <c r="F26" s="58">
        <f t="shared" si="0"/>
        <v>0</v>
      </c>
      <c r="G26" s="149"/>
      <c r="H26" s="14"/>
      <c r="I26" s="14"/>
      <c r="J26" s="14"/>
      <c r="K26" s="14"/>
      <c r="L26" s="14"/>
      <c r="M26" s="14"/>
    </row>
    <row r="27" spans="1:13" s="7" customFormat="1" ht="12.75" customHeight="1">
      <c r="A27" s="150" t="s">
        <v>32</v>
      </c>
      <c r="B27" s="56" t="s">
        <v>33</v>
      </c>
      <c r="C27" s="58">
        <v>118000</v>
      </c>
      <c r="D27" s="58">
        <v>9700</v>
      </c>
      <c r="E27" s="58">
        <v>118000</v>
      </c>
      <c r="F27" s="58">
        <f t="shared" si="0"/>
        <v>0</v>
      </c>
      <c r="G27" s="149"/>
      <c r="H27" s="14"/>
      <c r="I27" s="14"/>
      <c r="J27" s="14"/>
      <c r="K27" s="14"/>
      <c r="L27" s="14"/>
      <c r="M27" s="14"/>
    </row>
    <row r="28" spans="1:13" s="7" customFormat="1" ht="12.75" customHeight="1">
      <c r="A28" s="150" t="s">
        <v>34</v>
      </c>
      <c r="B28" s="56" t="s">
        <v>35</v>
      </c>
      <c r="C28" s="58">
        <f>200000+10000+7000</f>
        <v>217000</v>
      </c>
      <c r="D28" s="58">
        <v>16112.5</v>
      </c>
      <c r="E28" s="58">
        <f>200000+10000+7000</f>
        <v>217000</v>
      </c>
      <c r="F28" s="58">
        <f t="shared" si="0"/>
        <v>0</v>
      </c>
      <c r="G28" s="149"/>
      <c r="H28" s="14"/>
      <c r="I28" s="14"/>
      <c r="J28" s="14"/>
      <c r="K28" s="14"/>
      <c r="L28" s="14"/>
      <c r="M28" s="14"/>
    </row>
    <row r="29" spans="1:13" s="7" customFormat="1" ht="12.75" customHeight="1">
      <c r="A29" s="150" t="s">
        <v>36</v>
      </c>
      <c r="B29" s="56" t="s">
        <v>37</v>
      </c>
      <c r="C29" s="58">
        <f>116000+1000</f>
        <v>117000</v>
      </c>
      <c r="D29" s="58">
        <v>6169.97</v>
      </c>
      <c r="E29" s="58">
        <f>116000+1000</f>
        <v>117000</v>
      </c>
      <c r="F29" s="58">
        <f t="shared" si="0"/>
        <v>0</v>
      </c>
      <c r="G29" s="149"/>
      <c r="H29" s="14"/>
      <c r="I29" s="14"/>
      <c r="J29" s="14"/>
      <c r="K29" s="14"/>
      <c r="L29" s="14"/>
      <c r="M29" s="14"/>
    </row>
    <row r="30" spans="1:13" s="7" customFormat="1" ht="12.75" customHeight="1">
      <c r="A30" s="150" t="s">
        <v>39</v>
      </c>
      <c r="B30" s="56" t="s">
        <v>40</v>
      </c>
      <c r="C30" s="111">
        <f>195348+91620+189911+43929+457820+389618+271447</f>
        <v>1639693</v>
      </c>
      <c r="D30" s="111">
        <v>431032</v>
      </c>
      <c r="E30" s="111">
        <f>195348+91620+189911+43929+457820+389618+271447</f>
        <v>1639693</v>
      </c>
      <c r="F30" s="58">
        <f t="shared" si="0"/>
        <v>0</v>
      </c>
      <c r="G30" s="149"/>
      <c r="H30" s="14"/>
      <c r="I30" s="14"/>
      <c r="J30" s="14"/>
      <c r="K30" s="14"/>
      <c r="L30" s="14"/>
      <c r="M30" s="14"/>
    </row>
    <row r="31" spans="1:13" s="7" customFormat="1" ht="12.75" customHeight="1">
      <c r="A31" s="150" t="s">
        <v>41</v>
      </c>
      <c r="B31" s="119" t="s">
        <v>42</v>
      </c>
      <c r="C31" s="63">
        <v>50000</v>
      </c>
      <c r="D31" s="63">
        <v>5881.23</v>
      </c>
      <c r="E31" s="63">
        <v>50000</v>
      </c>
      <c r="F31" s="58">
        <f t="shared" si="0"/>
        <v>0</v>
      </c>
      <c r="G31" s="149"/>
      <c r="H31" s="14"/>
      <c r="I31" s="14"/>
      <c r="J31" s="14"/>
      <c r="K31" s="14"/>
      <c r="L31" s="14"/>
      <c r="M31" s="14"/>
    </row>
    <row r="32" spans="1:13" s="7" customFormat="1" ht="12.75" customHeight="1">
      <c r="A32" s="151" t="s">
        <v>125</v>
      </c>
      <c r="B32" s="119">
        <v>749</v>
      </c>
      <c r="C32" s="63"/>
      <c r="D32" s="63"/>
      <c r="E32" s="63"/>
      <c r="F32" s="58">
        <f t="shared" si="0"/>
        <v>0</v>
      </c>
      <c r="G32" s="121"/>
      <c r="H32" s="14"/>
      <c r="I32" s="14"/>
      <c r="J32" s="14"/>
      <c r="K32" s="14"/>
      <c r="L32" s="14"/>
      <c r="M32" s="14"/>
    </row>
    <row r="33" spans="1:13" s="7" customFormat="1" ht="12.75" customHeight="1">
      <c r="A33" s="151" t="s">
        <v>129</v>
      </c>
      <c r="B33" s="119">
        <v>749</v>
      </c>
      <c r="C33" s="63">
        <f>682280+2520334</f>
        <v>3202614</v>
      </c>
      <c r="D33" s="63"/>
      <c r="E33" s="63">
        <f>682280+2520334</f>
        <v>3202614</v>
      </c>
      <c r="F33" s="58">
        <f t="shared" si="0"/>
        <v>0</v>
      </c>
      <c r="G33" s="122"/>
      <c r="H33" s="14"/>
      <c r="I33" s="14"/>
      <c r="J33" s="14"/>
      <c r="K33" s="14"/>
      <c r="L33" s="14"/>
      <c r="M33" s="14"/>
    </row>
    <row r="34" spans="1:13" s="7" customFormat="1" ht="12.75" customHeight="1">
      <c r="A34" s="151" t="s">
        <v>126</v>
      </c>
      <c r="B34" s="119">
        <v>749</v>
      </c>
      <c r="C34" s="63">
        <v>485000</v>
      </c>
      <c r="D34" s="63">
        <v>485000</v>
      </c>
      <c r="E34" s="63">
        <v>485000</v>
      </c>
      <c r="F34" s="58">
        <f t="shared" si="0"/>
        <v>0</v>
      </c>
      <c r="G34" s="122"/>
      <c r="H34" s="14"/>
      <c r="I34" s="14"/>
      <c r="J34" s="14"/>
      <c r="K34" s="14"/>
      <c r="L34" s="14"/>
      <c r="M34" s="14"/>
    </row>
    <row r="35" spans="1:13" s="7" customFormat="1" ht="12.75" customHeight="1">
      <c r="A35" s="151" t="s">
        <v>132</v>
      </c>
      <c r="B35" s="119">
        <v>749</v>
      </c>
      <c r="C35" s="63"/>
      <c r="D35" s="63"/>
      <c r="E35" s="63"/>
      <c r="F35" s="58">
        <f t="shared" si="0"/>
        <v>0</v>
      </c>
      <c r="G35" s="122"/>
      <c r="H35" s="14"/>
      <c r="I35" s="14"/>
      <c r="J35" s="14"/>
      <c r="K35" s="14"/>
      <c r="L35" s="14"/>
      <c r="M35" s="14"/>
    </row>
    <row r="36" spans="1:13" s="7" customFormat="1" ht="12.75" customHeight="1">
      <c r="A36" s="151" t="s">
        <v>158</v>
      </c>
      <c r="B36" s="119">
        <v>749</v>
      </c>
      <c r="C36" s="63"/>
      <c r="D36" s="63"/>
      <c r="E36" s="63"/>
      <c r="F36" s="58">
        <f t="shared" si="0"/>
        <v>0</v>
      </c>
      <c r="G36" s="122"/>
      <c r="H36" s="14"/>
      <c r="I36" s="14"/>
      <c r="J36" s="14"/>
      <c r="K36" s="14"/>
      <c r="L36" s="14"/>
      <c r="M36" s="14"/>
    </row>
    <row r="37" spans="1:13" s="7" customFormat="1" ht="12.75" customHeight="1" thickBot="1">
      <c r="A37" s="152" t="s">
        <v>117</v>
      </c>
      <c r="B37" s="110">
        <v>749</v>
      </c>
      <c r="C37" s="66"/>
      <c r="D37" s="66"/>
      <c r="E37" s="66"/>
      <c r="F37" s="58">
        <f t="shared" si="0"/>
        <v>0</v>
      </c>
      <c r="G37" s="153"/>
      <c r="H37" s="14"/>
      <c r="I37" s="14"/>
      <c r="J37" s="14"/>
      <c r="K37" s="14"/>
      <c r="L37" s="14"/>
      <c r="M37" s="14"/>
    </row>
    <row r="38" spans="1:15" s="7" customFormat="1" ht="15" customHeight="1" thickBot="1">
      <c r="A38" s="154" t="s">
        <v>80</v>
      </c>
      <c r="B38" s="59"/>
      <c r="C38" s="112">
        <f>SUM(C14:C37)</f>
        <v>39580753</v>
      </c>
      <c r="D38" s="112">
        <f>SUM(D14:D37)</f>
        <v>5926912.750000001</v>
      </c>
      <c r="E38" s="113">
        <f>SUM(E14:E37)</f>
        <v>39580753</v>
      </c>
      <c r="F38" s="112">
        <f>SUM(F14:F37)</f>
        <v>0</v>
      </c>
      <c r="G38" s="155"/>
      <c r="H38" s="19"/>
      <c r="I38" s="19"/>
      <c r="J38" s="19"/>
      <c r="K38" s="19"/>
      <c r="L38" s="19"/>
      <c r="M38" s="19"/>
      <c r="N38" s="12"/>
      <c r="O38" s="12"/>
    </row>
    <row r="39" spans="1:15" s="7" customFormat="1" ht="12.75">
      <c r="A39" s="156"/>
      <c r="B39" s="54"/>
      <c r="C39" s="72"/>
      <c r="D39" s="81"/>
      <c r="E39" s="81"/>
      <c r="F39" s="81"/>
      <c r="G39" s="157"/>
      <c r="H39" s="12"/>
      <c r="I39" s="12"/>
      <c r="J39" s="12"/>
      <c r="K39" s="12"/>
      <c r="L39" s="12"/>
      <c r="M39" s="12"/>
      <c r="N39" s="12"/>
      <c r="O39" s="12"/>
    </row>
    <row r="40" spans="1:7" s="2" customFormat="1" ht="12.75">
      <c r="A40" s="158" t="s">
        <v>79</v>
      </c>
      <c r="B40" s="17"/>
      <c r="C40" s="84"/>
      <c r="D40" s="70"/>
      <c r="E40" s="70"/>
      <c r="F40" s="70"/>
      <c r="G40" s="159"/>
    </row>
    <row r="41" spans="1:7" s="2" customFormat="1" ht="12.75">
      <c r="A41" s="156" t="s">
        <v>44</v>
      </c>
      <c r="B41" s="54">
        <v>751</v>
      </c>
      <c r="C41" s="77">
        <v>400000</v>
      </c>
      <c r="D41" s="78">
        <v>1466.93</v>
      </c>
      <c r="E41" s="77">
        <v>400000</v>
      </c>
      <c r="F41" s="58">
        <f aca="true" t="shared" si="1" ref="F41:F54">SUM(C41-E41)</f>
        <v>0</v>
      </c>
      <c r="G41" s="127"/>
    </row>
    <row r="42" spans="1:7" s="2" customFormat="1" ht="12.75">
      <c r="A42" s="156" t="s">
        <v>111</v>
      </c>
      <c r="B42" s="54">
        <v>754</v>
      </c>
      <c r="C42" s="77"/>
      <c r="D42" s="78"/>
      <c r="E42" s="77"/>
      <c r="F42" s="58">
        <f t="shared" si="1"/>
        <v>0</v>
      </c>
      <c r="G42" s="127"/>
    </row>
    <row r="43" spans="1:7" s="2" customFormat="1" ht="12.75">
      <c r="A43" s="156" t="s">
        <v>45</v>
      </c>
      <c r="B43" s="54">
        <v>772</v>
      </c>
      <c r="C43" s="85">
        <v>255000</v>
      </c>
      <c r="D43" s="86">
        <f>1307.62</f>
        <v>1307.62</v>
      </c>
      <c r="E43" s="85">
        <v>255000</v>
      </c>
      <c r="F43" s="58">
        <f t="shared" si="1"/>
        <v>0</v>
      </c>
      <c r="G43" s="160"/>
    </row>
    <row r="44" spans="1:7" s="2" customFormat="1" ht="12.75">
      <c r="A44" s="156" t="s">
        <v>145</v>
      </c>
      <c r="B44" s="54">
        <v>812</v>
      </c>
      <c r="C44" s="85">
        <v>4059000</v>
      </c>
      <c r="D44" s="64">
        <v>499844</v>
      </c>
      <c r="E44" s="85">
        <v>4059000</v>
      </c>
      <c r="F44" s="58">
        <f t="shared" si="1"/>
        <v>0</v>
      </c>
      <c r="G44" s="160"/>
    </row>
    <row r="45" spans="1:7" s="2" customFormat="1" ht="12.75">
      <c r="A45" s="156" t="s">
        <v>46</v>
      </c>
      <c r="B45" s="54">
        <v>784</v>
      </c>
      <c r="C45" s="85">
        <v>40000</v>
      </c>
      <c r="D45" s="64"/>
      <c r="E45" s="85">
        <v>40000</v>
      </c>
      <c r="F45" s="58">
        <f t="shared" si="1"/>
        <v>0</v>
      </c>
      <c r="G45" s="160"/>
    </row>
    <row r="46" spans="1:8" s="2" customFormat="1" ht="12.75">
      <c r="A46" s="156" t="s">
        <v>47</v>
      </c>
      <c r="B46" s="54">
        <v>755</v>
      </c>
      <c r="C46" s="85">
        <v>2325000</v>
      </c>
      <c r="D46" s="63">
        <f>411560</f>
        <v>411560</v>
      </c>
      <c r="E46" s="85">
        <v>2325000</v>
      </c>
      <c r="F46" s="58">
        <f t="shared" si="1"/>
        <v>0</v>
      </c>
      <c r="G46" s="127"/>
      <c r="H46" s="6"/>
    </row>
    <row r="47" spans="1:8" s="2" customFormat="1" ht="12.75">
      <c r="A47" s="156" t="s">
        <v>59</v>
      </c>
      <c r="B47" s="54">
        <v>781</v>
      </c>
      <c r="C47" s="85">
        <v>600000</v>
      </c>
      <c r="D47" s="78"/>
      <c r="E47" s="85">
        <v>600000</v>
      </c>
      <c r="F47" s="58">
        <f t="shared" si="1"/>
        <v>0</v>
      </c>
      <c r="G47" s="127"/>
      <c r="H47" s="6"/>
    </row>
    <row r="48" spans="1:8" s="2" customFormat="1" ht="12.75">
      <c r="A48" s="156" t="s">
        <v>48</v>
      </c>
      <c r="B48" s="54">
        <v>782</v>
      </c>
      <c r="C48" s="85">
        <v>196000</v>
      </c>
      <c r="D48" s="78"/>
      <c r="E48" s="85">
        <v>196000</v>
      </c>
      <c r="F48" s="58">
        <f t="shared" si="1"/>
        <v>0</v>
      </c>
      <c r="G48" s="127"/>
      <c r="H48" s="6"/>
    </row>
    <row r="49" spans="1:8" s="2" customFormat="1" ht="12.75">
      <c r="A49" s="156" t="s">
        <v>60</v>
      </c>
      <c r="B49" s="54">
        <v>778</v>
      </c>
      <c r="C49" s="85">
        <v>205000</v>
      </c>
      <c r="D49" s="78"/>
      <c r="E49" s="85">
        <v>205000</v>
      </c>
      <c r="F49" s="58">
        <f t="shared" si="1"/>
        <v>0</v>
      </c>
      <c r="G49" s="127"/>
      <c r="H49" s="6"/>
    </row>
    <row r="50" spans="1:8" s="2" customFormat="1" ht="12.75">
      <c r="A50" s="156" t="s">
        <v>49</v>
      </c>
      <c r="B50" s="54">
        <v>767</v>
      </c>
      <c r="C50" s="85">
        <v>1200000</v>
      </c>
      <c r="D50" s="78"/>
      <c r="E50" s="85">
        <v>1200000</v>
      </c>
      <c r="F50" s="58">
        <f t="shared" si="1"/>
        <v>0</v>
      </c>
      <c r="G50" s="127"/>
      <c r="H50" s="6"/>
    </row>
    <row r="51" spans="1:8" s="2" customFormat="1" ht="12.75">
      <c r="A51" s="156" t="s">
        <v>50</v>
      </c>
      <c r="B51" s="54">
        <v>753</v>
      </c>
      <c r="C51" s="85">
        <v>2320000</v>
      </c>
      <c r="D51" s="78"/>
      <c r="E51" s="85">
        <v>2320000</v>
      </c>
      <c r="F51" s="58">
        <f t="shared" si="1"/>
        <v>0</v>
      </c>
      <c r="G51" s="127"/>
      <c r="H51" s="6"/>
    </row>
    <row r="52" spans="1:8" s="2" customFormat="1" ht="12.75">
      <c r="A52" s="156" t="s">
        <v>51</v>
      </c>
      <c r="B52" s="54">
        <v>783</v>
      </c>
      <c r="C52" s="85">
        <v>162000</v>
      </c>
      <c r="D52" s="78">
        <v>13500</v>
      </c>
      <c r="E52" s="85">
        <v>162000</v>
      </c>
      <c r="F52" s="58">
        <f t="shared" si="1"/>
        <v>0</v>
      </c>
      <c r="G52" s="127"/>
      <c r="H52" s="6"/>
    </row>
    <row r="53" spans="1:8" s="2" customFormat="1" ht="12.75">
      <c r="A53" s="156" t="s">
        <v>52</v>
      </c>
      <c r="B53" s="54">
        <v>780</v>
      </c>
      <c r="C53" s="85">
        <v>50000</v>
      </c>
      <c r="D53" s="78"/>
      <c r="E53" s="85">
        <v>50000</v>
      </c>
      <c r="F53" s="58">
        <f t="shared" si="1"/>
        <v>0</v>
      </c>
      <c r="G53" s="160"/>
      <c r="H53" s="6"/>
    </row>
    <row r="54" spans="1:8" s="2" customFormat="1" ht="13.5" thickBot="1">
      <c r="A54" s="156" t="s">
        <v>61</v>
      </c>
      <c r="B54" s="54">
        <v>969</v>
      </c>
      <c r="C54" s="85">
        <v>4114000</v>
      </c>
      <c r="D54" s="87">
        <f>599</f>
        <v>599</v>
      </c>
      <c r="E54" s="85">
        <v>4114000</v>
      </c>
      <c r="F54" s="58">
        <f t="shared" si="1"/>
        <v>0</v>
      </c>
      <c r="G54" s="160"/>
      <c r="H54" s="6"/>
    </row>
    <row r="55" spans="1:8" s="2" customFormat="1" ht="13.5" thickBot="1">
      <c r="A55" s="161" t="s">
        <v>80</v>
      </c>
      <c r="B55" s="69"/>
      <c r="C55" s="88">
        <f>SUM(C41:C54)</f>
        <v>15926000</v>
      </c>
      <c r="D55" s="76">
        <f>SUM(D41:D54)</f>
        <v>928277.55</v>
      </c>
      <c r="E55" s="76">
        <f>SUM(E41:E54)</f>
        <v>15926000</v>
      </c>
      <c r="F55" s="76">
        <f>SUM(C55-E55)</f>
        <v>0</v>
      </c>
      <c r="G55" s="127"/>
      <c r="H55" s="6"/>
    </row>
    <row r="56" spans="1:8" s="2" customFormat="1" ht="12.75">
      <c r="A56" s="139" t="s">
        <v>81</v>
      </c>
      <c r="B56" s="67"/>
      <c r="C56" s="73"/>
      <c r="D56" s="89"/>
      <c r="E56" s="73"/>
      <c r="F56" s="73"/>
      <c r="G56" s="127"/>
      <c r="H56" s="6"/>
    </row>
    <row r="57" spans="1:8" s="2" customFormat="1" ht="12.75">
      <c r="A57" s="162" t="s">
        <v>82</v>
      </c>
      <c r="B57" s="65"/>
      <c r="C57" s="63"/>
      <c r="D57" s="78"/>
      <c r="E57" s="63"/>
      <c r="F57" s="58">
        <f>SUM(C57-E57)</f>
        <v>0</v>
      </c>
      <c r="G57" s="127"/>
      <c r="H57" s="6"/>
    </row>
    <row r="58" spans="1:8" s="2" customFormat="1" ht="12.75">
      <c r="A58" s="133" t="s">
        <v>107</v>
      </c>
      <c r="B58" s="65"/>
      <c r="C58" s="63"/>
      <c r="D58" s="78"/>
      <c r="E58" s="63"/>
      <c r="F58" s="58">
        <f>SUM(C58-E58)</f>
        <v>0</v>
      </c>
      <c r="G58" s="127"/>
      <c r="H58" s="6"/>
    </row>
    <row r="59" spans="1:8" s="2" customFormat="1" ht="13.5" thickBot="1">
      <c r="A59" s="134" t="s">
        <v>104</v>
      </c>
      <c r="B59" s="74"/>
      <c r="C59" s="66"/>
      <c r="D59" s="87"/>
      <c r="E59" s="66"/>
      <c r="F59" s="80">
        <f>SUM(C59-E59)</f>
        <v>0</v>
      </c>
      <c r="G59" s="127"/>
      <c r="H59" s="6"/>
    </row>
    <row r="60" spans="1:8" s="2" customFormat="1" ht="13.5" thickBot="1">
      <c r="A60" s="141" t="s">
        <v>85</v>
      </c>
      <c r="B60" s="75"/>
      <c r="C60" s="76">
        <f>SUM(C57:C59)</f>
        <v>0</v>
      </c>
      <c r="D60" s="90">
        <f>SUM(D58:D59)</f>
        <v>0</v>
      </c>
      <c r="E60" s="90">
        <f>SUM(E58:E59)</f>
        <v>0</v>
      </c>
      <c r="F60" s="91">
        <f>SUM(F58:F59)</f>
        <v>0</v>
      </c>
      <c r="G60" s="127"/>
      <c r="H60" s="6"/>
    </row>
    <row r="61" spans="1:8" s="2" customFormat="1" ht="13.5" thickBot="1">
      <c r="A61" s="141" t="s">
        <v>86</v>
      </c>
      <c r="B61" s="75"/>
      <c r="C61" s="76">
        <f>SUM(C60+C55+C38)</f>
        <v>55506753</v>
      </c>
      <c r="D61" s="76">
        <f>SUM(D60+D55+D38)</f>
        <v>6855190.300000001</v>
      </c>
      <c r="E61" s="76">
        <f>SUM(E60+E55+E38)</f>
        <v>55506753</v>
      </c>
      <c r="F61" s="76">
        <f>SUM(F60+F55+F38)</f>
        <v>0</v>
      </c>
      <c r="G61" s="127"/>
      <c r="H61" s="6"/>
    </row>
    <row r="62" spans="1:8" s="2" customFormat="1" ht="12.75">
      <c r="A62" s="139" t="s">
        <v>87</v>
      </c>
      <c r="B62" s="67"/>
      <c r="C62" s="73"/>
      <c r="D62" s="89"/>
      <c r="E62" s="73"/>
      <c r="F62" s="73"/>
      <c r="G62" s="127"/>
      <c r="H62" s="6"/>
    </row>
    <row r="63" spans="1:8" s="2" customFormat="1" ht="12.75">
      <c r="A63" s="133" t="s">
        <v>112</v>
      </c>
      <c r="B63" s="65"/>
      <c r="C63" s="63"/>
      <c r="D63" s="78"/>
      <c r="E63" s="63"/>
      <c r="F63" s="63"/>
      <c r="G63" s="127"/>
      <c r="H63" s="6"/>
    </row>
    <row r="64" spans="1:8" s="2" customFormat="1" ht="12.75">
      <c r="A64" s="133" t="s">
        <v>113</v>
      </c>
      <c r="B64" s="65">
        <v>215</v>
      </c>
      <c r="C64" s="63">
        <v>300000</v>
      </c>
      <c r="D64" s="78"/>
      <c r="E64" s="63">
        <v>300000</v>
      </c>
      <c r="F64" s="58">
        <f>SUM(C64-E64)</f>
        <v>0</v>
      </c>
      <c r="G64" s="127"/>
      <c r="H64" s="6"/>
    </row>
    <row r="65" spans="1:8" s="2" customFormat="1" ht="13.5" thickBot="1">
      <c r="A65" s="133"/>
      <c r="B65" s="65"/>
      <c r="C65" s="63"/>
      <c r="D65" s="78"/>
      <c r="E65" s="66"/>
      <c r="F65" s="58">
        <f>SUM(C65-E65)</f>
        <v>0</v>
      </c>
      <c r="G65" s="127"/>
      <c r="H65" s="6"/>
    </row>
    <row r="66" spans="1:8" s="2" customFormat="1" ht="13.5" thickBot="1">
      <c r="A66" s="141" t="s">
        <v>88</v>
      </c>
      <c r="B66" s="75"/>
      <c r="C66" s="76">
        <f>SUM(C64:C65)</f>
        <v>300000</v>
      </c>
      <c r="D66" s="90">
        <f>SUM(D64:D65)</f>
        <v>0</v>
      </c>
      <c r="E66" s="76">
        <f>SUM(E64:E65)</f>
        <v>300000</v>
      </c>
      <c r="F66" s="76">
        <f>SUM(F64:F65)</f>
        <v>0</v>
      </c>
      <c r="G66" s="127"/>
      <c r="H66" s="6"/>
    </row>
    <row r="67" spans="1:8" s="2" customFormat="1" ht="13.5" thickBot="1">
      <c r="A67" s="163" t="s">
        <v>92</v>
      </c>
      <c r="B67" s="92"/>
      <c r="C67" s="90">
        <f>SUM(C66+C61)</f>
        <v>55806753</v>
      </c>
      <c r="D67" s="90">
        <f>SUM(D66+D61)</f>
        <v>6855190.300000001</v>
      </c>
      <c r="E67" s="90">
        <f>SUM(E66+E61)</f>
        <v>55806753</v>
      </c>
      <c r="F67" s="90">
        <f>SUM(F66+F61)</f>
        <v>0</v>
      </c>
      <c r="G67" s="127">
        <f>SUM(G66+G61)</f>
        <v>0</v>
      </c>
      <c r="H67" s="6"/>
    </row>
    <row r="68" spans="1:8" s="2" customFormat="1" ht="12.75">
      <c r="A68" s="162" t="s">
        <v>90</v>
      </c>
      <c r="B68" s="65"/>
      <c r="C68" s="63"/>
      <c r="D68" s="78"/>
      <c r="E68" s="63"/>
      <c r="F68" s="63"/>
      <c r="G68" s="127"/>
      <c r="H68" s="6"/>
    </row>
    <row r="69" spans="1:8" s="2" customFormat="1" ht="12.75">
      <c r="A69" s="133" t="s">
        <v>91</v>
      </c>
      <c r="B69" s="65"/>
      <c r="C69" s="63"/>
      <c r="D69" s="78"/>
      <c r="E69" s="63"/>
      <c r="F69" s="63"/>
      <c r="G69" s="127"/>
      <c r="H69" s="6"/>
    </row>
    <row r="70" spans="1:8" s="2" customFormat="1" ht="12.75">
      <c r="A70" s="133" t="s">
        <v>0</v>
      </c>
      <c r="B70" s="65"/>
      <c r="C70" s="63"/>
      <c r="D70" s="78"/>
      <c r="E70" s="63"/>
      <c r="F70" s="63"/>
      <c r="G70" s="127"/>
      <c r="H70" s="6"/>
    </row>
    <row r="71" spans="1:8" s="2" customFormat="1" ht="12.75">
      <c r="A71" s="132" t="s">
        <v>4</v>
      </c>
      <c r="B71" s="65" t="s">
        <v>5</v>
      </c>
      <c r="C71" s="149">
        <f>15807000+1830000+1047000</f>
        <v>18684000</v>
      </c>
      <c r="D71" s="78">
        <v>1563884</v>
      </c>
      <c r="E71" s="149">
        <f>15807000+1830000+1047000</f>
        <v>18684000</v>
      </c>
      <c r="F71" s="58">
        <f aca="true" t="shared" si="2" ref="F71:F91">SUM(C71-E71)</f>
        <v>0</v>
      </c>
      <c r="G71" s="127"/>
      <c r="H71" s="6"/>
    </row>
    <row r="72" spans="1:8" s="2" customFormat="1" ht="12.75">
      <c r="A72" s="132" t="s">
        <v>142</v>
      </c>
      <c r="B72" s="65">
        <v>706</v>
      </c>
      <c r="C72" s="63"/>
      <c r="D72" s="78"/>
      <c r="E72" s="63"/>
      <c r="F72" s="58">
        <f t="shared" si="2"/>
        <v>0</v>
      </c>
      <c r="G72" s="127"/>
      <c r="H72" s="6"/>
    </row>
    <row r="73" spans="1:8" s="2" customFormat="1" ht="12.75">
      <c r="A73" s="133" t="s">
        <v>10</v>
      </c>
      <c r="B73" s="65" t="s">
        <v>11</v>
      </c>
      <c r="C73" s="63">
        <v>1728000</v>
      </c>
      <c r="D73" s="78">
        <v>138000</v>
      </c>
      <c r="E73" s="63">
        <v>1728000</v>
      </c>
      <c r="F73" s="58">
        <f t="shared" si="2"/>
        <v>0</v>
      </c>
      <c r="G73" s="127"/>
      <c r="H73" s="6"/>
    </row>
    <row r="74" spans="1:8" s="2" customFormat="1" ht="12.75">
      <c r="A74" s="133" t="s">
        <v>12</v>
      </c>
      <c r="B74" s="65" t="s">
        <v>13</v>
      </c>
      <c r="C74" s="63"/>
      <c r="D74" s="78"/>
      <c r="E74" s="63"/>
      <c r="F74" s="58">
        <f t="shared" si="2"/>
        <v>0</v>
      </c>
      <c r="G74" s="127"/>
      <c r="H74" s="6"/>
    </row>
    <row r="75" spans="1:8" s="2" customFormat="1" ht="12.75">
      <c r="A75" s="133" t="s">
        <v>18</v>
      </c>
      <c r="B75" s="65" t="s">
        <v>19</v>
      </c>
      <c r="C75" s="63">
        <f>288000+72000</f>
        <v>360000</v>
      </c>
      <c r="D75" s="63"/>
      <c r="E75" s="63">
        <f>288000+72000</f>
        <v>360000</v>
      </c>
      <c r="F75" s="58">
        <f t="shared" si="2"/>
        <v>0</v>
      </c>
      <c r="G75" s="140"/>
      <c r="H75" s="6"/>
    </row>
    <row r="76" spans="1:8" s="2" customFormat="1" ht="12.75">
      <c r="A76" s="133" t="s">
        <v>155</v>
      </c>
      <c r="B76" s="65">
        <v>720</v>
      </c>
      <c r="C76" s="63"/>
      <c r="D76" s="63"/>
      <c r="E76" s="63"/>
      <c r="F76" s="58">
        <f t="shared" si="2"/>
        <v>0</v>
      </c>
      <c r="G76" s="140"/>
      <c r="H76" s="6"/>
    </row>
    <row r="77" spans="1:8" s="2" customFormat="1" ht="12.75">
      <c r="A77" s="133" t="s">
        <v>22</v>
      </c>
      <c r="B77" s="65" t="s">
        <v>23</v>
      </c>
      <c r="C77" s="149">
        <f>1318000+153000+150000</f>
        <v>1621000</v>
      </c>
      <c r="D77" s="63"/>
      <c r="E77" s="149">
        <f>1318000+153000+150000</f>
        <v>1621000</v>
      </c>
      <c r="F77" s="58">
        <f t="shared" si="2"/>
        <v>0</v>
      </c>
      <c r="G77" s="127"/>
      <c r="H77" s="6"/>
    </row>
    <row r="78" spans="1:8" s="2" customFormat="1" ht="12.75">
      <c r="A78" s="133" t="s">
        <v>24</v>
      </c>
      <c r="B78" s="65" t="s">
        <v>25</v>
      </c>
      <c r="C78" s="63">
        <v>360000</v>
      </c>
      <c r="D78" s="63"/>
      <c r="E78" s="63">
        <v>360000</v>
      </c>
      <c r="F78" s="58">
        <f t="shared" si="2"/>
        <v>0</v>
      </c>
      <c r="G78" s="127"/>
      <c r="H78" s="6"/>
    </row>
    <row r="79" spans="1:8" s="2" customFormat="1" ht="12.75">
      <c r="A79" s="133" t="s">
        <v>26</v>
      </c>
      <c r="B79" s="65" t="s">
        <v>27</v>
      </c>
      <c r="C79" s="63">
        <v>144000</v>
      </c>
      <c r="D79" s="63"/>
      <c r="E79" s="63">
        <v>144000</v>
      </c>
      <c r="F79" s="58">
        <f t="shared" si="2"/>
        <v>0</v>
      </c>
      <c r="G79" s="127"/>
      <c r="H79" s="6"/>
    </row>
    <row r="80" spans="1:8" s="2" customFormat="1" ht="12.75">
      <c r="A80" s="133" t="s">
        <v>28</v>
      </c>
      <c r="B80" s="65">
        <v>716</v>
      </c>
      <c r="C80" s="63">
        <v>65000</v>
      </c>
      <c r="D80" s="63">
        <v>12170.57</v>
      </c>
      <c r="E80" s="63">
        <v>65000</v>
      </c>
      <c r="F80" s="58">
        <f t="shared" si="2"/>
        <v>0</v>
      </c>
      <c r="G80" s="127"/>
      <c r="H80" s="6"/>
    </row>
    <row r="81" spans="1:8" s="2" customFormat="1" ht="12.75">
      <c r="A81" s="133" t="s">
        <v>30</v>
      </c>
      <c r="B81" s="65" t="s">
        <v>31</v>
      </c>
      <c r="C81" s="149">
        <f>1897000+220000+126000</f>
        <v>2243000</v>
      </c>
      <c r="D81" s="63"/>
      <c r="E81" s="149">
        <f>1897000+220000+126000-539459.55</f>
        <v>1703540.45</v>
      </c>
      <c r="F81" s="58">
        <f t="shared" si="2"/>
        <v>539459.55</v>
      </c>
      <c r="G81" s="127"/>
      <c r="H81" s="6"/>
    </row>
    <row r="82" spans="1:8" s="2" customFormat="1" ht="12.75">
      <c r="A82" s="133" t="s">
        <v>32</v>
      </c>
      <c r="B82" s="65" t="s">
        <v>33</v>
      </c>
      <c r="C82" s="63">
        <v>87000</v>
      </c>
      <c r="D82" s="63"/>
      <c r="E82" s="63">
        <v>87000</v>
      </c>
      <c r="F82" s="58">
        <f t="shared" si="2"/>
        <v>0</v>
      </c>
      <c r="G82" s="127"/>
      <c r="H82" s="6"/>
    </row>
    <row r="83" spans="1:8" s="2" customFormat="1" ht="12.75">
      <c r="A83" s="133" t="s">
        <v>34</v>
      </c>
      <c r="B83" s="65" t="s">
        <v>35</v>
      </c>
      <c r="C83" s="149">
        <f>158000+7000+6000</f>
        <v>171000</v>
      </c>
      <c r="D83" s="63"/>
      <c r="E83" s="149">
        <f>158000+7000+6000</f>
        <v>171000</v>
      </c>
      <c r="F83" s="58">
        <f t="shared" si="2"/>
        <v>0</v>
      </c>
      <c r="G83" s="127"/>
      <c r="H83" s="6"/>
    </row>
    <row r="84" spans="1:8" s="2" customFormat="1" ht="12.75">
      <c r="A84" s="133" t="s">
        <v>36</v>
      </c>
      <c r="B84" s="65" t="s">
        <v>37</v>
      </c>
      <c r="C84" s="149">
        <f>85000+1000</f>
        <v>86000</v>
      </c>
      <c r="D84" s="63"/>
      <c r="E84" s="149">
        <f>85000+1000</f>
        <v>86000</v>
      </c>
      <c r="F84" s="58">
        <f t="shared" si="2"/>
        <v>0</v>
      </c>
      <c r="G84" s="127"/>
      <c r="H84" s="6"/>
    </row>
    <row r="85" spans="1:8" s="2" customFormat="1" ht="12.75">
      <c r="A85" s="133" t="s">
        <v>108</v>
      </c>
      <c r="B85" s="65">
        <v>723</v>
      </c>
      <c r="C85" s="63"/>
      <c r="D85" s="63"/>
      <c r="E85" s="63"/>
      <c r="F85" s="58">
        <f t="shared" si="2"/>
        <v>0</v>
      </c>
      <c r="G85" s="127"/>
      <c r="H85" s="6"/>
    </row>
    <row r="86" spans="1:8" s="2" customFormat="1" ht="12.75">
      <c r="A86" s="133" t="s">
        <v>118</v>
      </c>
      <c r="B86" s="65">
        <v>721</v>
      </c>
      <c r="C86" s="63"/>
      <c r="D86" s="63">
        <v>38333.15</v>
      </c>
      <c r="E86" s="63"/>
      <c r="F86" s="58">
        <f t="shared" si="2"/>
        <v>0</v>
      </c>
      <c r="G86" s="127"/>
      <c r="H86" s="6"/>
    </row>
    <row r="87" spans="1:8" s="2" customFormat="1" ht="12.75">
      <c r="A87" s="133" t="s">
        <v>119</v>
      </c>
      <c r="B87" s="65">
        <v>749</v>
      </c>
      <c r="C87" s="63"/>
      <c r="D87" s="63"/>
      <c r="E87" s="63"/>
      <c r="F87" s="58">
        <f t="shared" si="2"/>
        <v>0</v>
      </c>
      <c r="G87" s="127"/>
      <c r="H87" s="6"/>
    </row>
    <row r="88" spans="1:8" s="2" customFormat="1" ht="12.75">
      <c r="A88" s="133" t="s">
        <v>161</v>
      </c>
      <c r="B88" s="65">
        <v>749</v>
      </c>
      <c r="C88" s="63">
        <v>360000</v>
      </c>
      <c r="D88" s="63">
        <v>350500</v>
      </c>
      <c r="E88" s="63">
        <v>360000</v>
      </c>
      <c r="F88" s="58">
        <f t="shared" si="2"/>
        <v>0</v>
      </c>
      <c r="G88" s="127"/>
      <c r="H88" s="6"/>
    </row>
    <row r="89" spans="1:8" s="2" customFormat="1" ht="12.75">
      <c r="A89" s="133" t="s">
        <v>132</v>
      </c>
      <c r="B89" s="65">
        <v>749</v>
      </c>
      <c r="C89" s="63"/>
      <c r="D89" s="63">
        <v>904465.63</v>
      </c>
      <c r="E89" s="63"/>
      <c r="F89" s="58">
        <f t="shared" si="2"/>
        <v>0</v>
      </c>
      <c r="G89" s="127"/>
      <c r="H89" s="6"/>
    </row>
    <row r="90" spans="1:8" s="2" customFormat="1" ht="12.75">
      <c r="A90" s="133" t="s">
        <v>158</v>
      </c>
      <c r="B90" s="65">
        <v>749</v>
      </c>
      <c r="C90" s="63"/>
      <c r="D90" s="63"/>
      <c r="E90" s="63"/>
      <c r="F90" s="58">
        <f t="shared" si="2"/>
        <v>0</v>
      </c>
      <c r="G90" s="127"/>
      <c r="H90" s="6"/>
    </row>
    <row r="91" spans="1:8" s="2" customFormat="1" ht="13.5" thickBot="1">
      <c r="A91" s="133" t="s">
        <v>41</v>
      </c>
      <c r="B91" s="65" t="s">
        <v>42</v>
      </c>
      <c r="C91" s="63">
        <v>40000</v>
      </c>
      <c r="D91" s="63"/>
      <c r="E91" s="63">
        <v>40000</v>
      </c>
      <c r="F91" s="58">
        <f t="shared" si="2"/>
        <v>0</v>
      </c>
      <c r="G91" s="127"/>
      <c r="H91" s="6"/>
    </row>
    <row r="92" spans="1:8" s="2" customFormat="1" ht="13.5" thickBot="1">
      <c r="A92" s="164" t="s">
        <v>80</v>
      </c>
      <c r="B92" s="75"/>
      <c r="C92" s="76">
        <f>SUM(C71:C91)</f>
        <v>25949000</v>
      </c>
      <c r="D92" s="76">
        <f>SUM(D71:D91)</f>
        <v>3007353.3499999996</v>
      </c>
      <c r="E92" s="61">
        <f>SUM(E71:E91)</f>
        <v>25409540.45</v>
      </c>
      <c r="F92" s="61">
        <f>SUM(F71:F91)</f>
        <v>539459.55</v>
      </c>
      <c r="G92" s="142"/>
      <c r="H92" s="6"/>
    </row>
    <row r="93" spans="1:8" s="2" customFormat="1" ht="12.75">
      <c r="A93" s="165"/>
      <c r="B93" s="71"/>
      <c r="C93" s="73"/>
      <c r="D93" s="73"/>
      <c r="E93" s="73"/>
      <c r="F93" s="73"/>
      <c r="G93" s="140"/>
      <c r="H93" s="6"/>
    </row>
    <row r="94" spans="1:8" s="2" customFormat="1" ht="12.75">
      <c r="A94" s="158" t="s">
        <v>79</v>
      </c>
      <c r="B94" s="17"/>
      <c r="C94" s="63"/>
      <c r="D94" s="63"/>
      <c r="E94" s="63"/>
      <c r="F94" s="63"/>
      <c r="G94" s="127"/>
      <c r="H94" s="6"/>
    </row>
    <row r="95" spans="1:8" s="2" customFormat="1" ht="12.75">
      <c r="A95" s="156" t="s">
        <v>44</v>
      </c>
      <c r="B95" s="72">
        <v>751</v>
      </c>
      <c r="C95" s="58">
        <v>50000</v>
      </c>
      <c r="D95" s="63"/>
      <c r="E95" s="58">
        <v>50000</v>
      </c>
      <c r="F95" s="58">
        <f aca="true" t="shared" si="3" ref="F95:F103">SUM(C95-E95)</f>
        <v>0</v>
      </c>
      <c r="G95" s="127"/>
      <c r="H95" s="6"/>
    </row>
    <row r="96" spans="1:8" s="2" customFormat="1" ht="12.75">
      <c r="A96" s="156" t="s">
        <v>45</v>
      </c>
      <c r="B96" s="72">
        <v>772</v>
      </c>
      <c r="C96" s="93">
        <v>30000</v>
      </c>
      <c r="D96" s="63"/>
      <c r="E96" s="93">
        <v>30000</v>
      </c>
      <c r="F96" s="58">
        <f t="shared" si="3"/>
        <v>0</v>
      </c>
      <c r="G96" s="127"/>
      <c r="H96" s="6"/>
    </row>
    <row r="97" spans="1:8" s="2" customFormat="1" ht="12.75">
      <c r="A97" s="156" t="s">
        <v>62</v>
      </c>
      <c r="B97" s="72">
        <v>812</v>
      </c>
      <c r="C97" s="93">
        <v>119000</v>
      </c>
      <c r="D97" s="63"/>
      <c r="E97" s="93">
        <v>119000</v>
      </c>
      <c r="F97" s="58">
        <f t="shared" si="3"/>
        <v>0</v>
      </c>
      <c r="G97" s="127"/>
      <c r="H97" s="6"/>
    </row>
    <row r="98" spans="1:8" s="2" customFormat="1" ht="12.75">
      <c r="A98" s="156" t="s">
        <v>47</v>
      </c>
      <c r="B98" s="72">
        <v>755</v>
      </c>
      <c r="C98" s="93">
        <v>550000</v>
      </c>
      <c r="D98" s="63"/>
      <c r="E98" s="93">
        <v>550000</v>
      </c>
      <c r="F98" s="58">
        <f t="shared" si="3"/>
        <v>0</v>
      </c>
      <c r="G98" s="127"/>
      <c r="H98" s="6"/>
    </row>
    <row r="99" spans="1:8" s="2" customFormat="1" ht="12.75">
      <c r="A99" s="156" t="s">
        <v>46</v>
      </c>
      <c r="B99" s="72">
        <v>784</v>
      </c>
      <c r="C99" s="93"/>
      <c r="D99" s="63"/>
      <c r="E99" s="93"/>
      <c r="F99" s="58">
        <f t="shared" si="3"/>
        <v>0</v>
      </c>
      <c r="G99" s="127"/>
      <c r="H99" s="6"/>
    </row>
    <row r="100" spans="1:8" s="2" customFormat="1" ht="12.75">
      <c r="A100" s="156" t="s">
        <v>59</v>
      </c>
      <c r="B100" s="72">
        <v>781</v>
      </c>
      <c r="C100" s="93">
        <v>100000</v>
      </c>
      <c r="D100" s="63"/>
      <c r="E100" s="93">
        <v>100000</v>
      </c>
      <c r="F100" s="58">
        <f t="shared" si="3"/>
        <v>0</v>
      </c>
      <c r="G100" s="127"/>
      <c r="H100" s="6"/>
    </row>
    <row r="101" spans="1:8" s="2" customFormat="1" ht="12.75">
      <c r="A101" s="156" t="s">
        <v>49</v>
      </c>
      <c r="B101" s="72">
        <v>767</v>
      </c>
      <c r="C101" s="93">
        <v>700000</v>
      </c>
      <c r="D101" s="63"/>
      <c r="E101" s="93">
        <v>700000</v>
      </c>
      <c r="F101" s="58">
        <f t="shared" si="3"/>
        <v>0</v>
      </c>
      <c r="G101" s="127"/>
      <c r="H101" s="6"/>
    </row>
    <row r="102" spans="1:8" s="2" customFormat="1" ht="12.75">
      <c r="A102" s="156" t="s">
        <v>50</v>
      </c>
      <c r="B102" s="72">
        <v>753</v>
      </c>
      <c r="C102" s="93">
        <v>40000</v>
      </c>
      <c r="D102" s="63"/>
      <c r="E102" s="93">
        <v>40000</v>
      </c>
      <c r="F102" s="58">
        <f t="shared" si="3"/>
        <v>0</v>
      </c>
      <c r="G102" s="127"/>
      <c r="H102" s="6"/>
    </row>
    <row r="103" spans="1:8" s="2" customFormat="1" ht="13.5" thickBot="1">
      <c r="A103" s="156" t="s">
        <v>61</v>
      </c>
      <c r="B103" s="72">
        <v>969</v>
      </c>
      <c r="C103" s="93">
        <v>814000</v>
      </c>
      <c r="D103" s="66"/>
      <c r="E103" s="93">
        <v>814000</v>
      </c>
      <c r="F103" s="58">
        <f t="shared" si="3"/>
        <v>0</v>
      </c>
      <c r="G103" s="120"/>
      <c r="H103" s="6"/>
    </row>
    <row r="104" spans="1:8" s="2" customFormat="1" ht="13.5" thickBot="1">
      <c r="A104" s="161" t="s">
        <v>80</v>
      </c>
      <c r="B104" s="69"/>
      <c r="C104" s="94">
        <f>SUM(C95:C103)</f>
        <v>2403000</v>
      </c>
      <c r="D104" s="94">
        <f>SUM(D95:D103)</f>
        <v>0</v>
      </c>
      <c r="E104" s="94">
        <f>SUM(E95:E103)</f>
        <v>2403000</v>
      </c>
      <c r="F104" s="94">
        <f>SUM(F95:F103)</f>
        <v>0</v>
      </c>
      <c r="G104" s="142"/>
      <c r="H104" s="6"/>
    </row>
    <row r="105" spans="1:8" s="2" customFormat="1" ht="12.75">
      <c r="A105" s="139" t="s">
        <v>81</v>
      </c>
      <c r="B105" s="82"/>
      <c r="C105" s="73"/>
      <c r="D105" s="73"/>
      <c r="E105" s="73"/>
      <c r="F105" s="73"/>
      <c r="G105" s="140"/>
      <c r="H105" s="6"/>
    </row>
    <row r="106" spans="1:8" s="2" customFormat="1" ht="12.75">
      <c r="A106" s="162" t="s">
        <v>82</v>
      </c>
      <c r="B106" s="83"/>
      <c r="C106" s="63"/>
      <c r="D106" s="63"/>
      <c r="E106" s="63"/>
      <c r="F106" s="63"/>
      <c r="G106" s="127"/>
      <c r="H106" s="6"/>
    </row>
    <row r="107" spans="1:8" s="2" customFormat="1" ht="12.75">
      <c r="A107" s="133" t="s">
        <v>83</v>
      </c>
      <c r="B107" s="83"/>
      <c r="C107" s="63"/>
      <c r="D107" s="63"/>
      <c r="E107" s="63"/>
      <c r="F107" s="63"/>
      <c r="G107" s="127"/>
      <c r="H107" s="6"/>
    </row>
    <row r="108" spans="1:8" s="2" customFormat="1" ht="13.5" thickBot="1">
      <c r="A108" s="134" t="s">
        <v>84</v>
      </c>
      <c r="B108" s="95"/>
      <c r="C108" s="66"/>
      <c r="D108" s="66"/>
      <c r="E108" s="66"/>
      <c r="F108" s="66"/>
      <c r="G108" s="120"/>
      <c r="H108" s="6"/>
    </row>
    <row r="109" spans="1:8" s="2" customFormat="1" ht="13.5" thickBot="1">
      <c r="A109" s="141" t="s">
        <v>85</v>
      </c>
      <c r="B109" s="92"/>
      <c r="C109" s="76">
        <f>SUM(C106:C108)</f>
        <v>0</v>
      </c>
      <c r="D109" s="76"/>
      <c r="E109" s="76"/>
      <c r="F109" s="76"/>
      <c r="G109" s="142"/>
      <c r="H109" s="6"/>
    </row>
    <row r="110" spans="1:8" s="2" customFormat="1" ht="13.5" thickBot="1">
      <c r="A110" s="141" t="s">
        <v>106</v>
      </c>
      <c r="B110" s="92"/>
      <c r="C110" s="91">
        <f>SUM(C109+C104+C92)</f>
        <v>28352000</v>
      </c>
      <c r="D110" s="91">
        <f>SUM(D109+D104+D92)</f>
        <v>3007353.3499999996</v>
      </c>
      <c r="E110" s="91">
        <f>SUM(E109+E104+E92)</f>
        <v>27812540.45</v>
      </c>
      <c r="F110" s="91">
        <f>SUM(F109+F104+F92)</f>
        <v>539459.55</v>
      </c>
      <c r="G110" s="166"/>
      <c r="H110" s="6"/>
    </row>
    <row r="111" spans="1:8" s="2" customFormat="1" ht="12.75">
      <c r="A111" s="167" t="s">
        <v>93</v>
      </c>
      <c r="B111" s="8"/>
      <c r="C111" s="14"/>
      <c r="D111" s="14"/>
      <c r="E111" s="14"/>
      <c r="F111" s="14"/>
      <c r="G111" s="153"/>
      <c r="H111" s="6"/>
    </row>
    <row r="112" spans="1:8" s="2" customFormat="1" ht="12.75">
      <c r="A112" s="104" t="s">
        <v>94</v>
      </c>
      <c r="B112" s="8"/>
      <c r="C112" s="14"/>
      <c r="D112" s="14"/>
      <c r="E112" s="14"/>
      <c r="F112" s="14"/>
      <c r="G112" s="153"/>
      <c r="H112" s="6"/>
    </row>
    <row r="113" spans="1:8" s="2" customFormat="1" ht="12.75">
      <c r="A113" s="133" t="s">
        <v>0</v>
      </c>
      <c r="B113" s="65"/>
      <c r="C113" s="63"/>
      <c r="D113" s="63"/>
      <c r="E113" s="63"/>
      <c r="F113" s="63"/>
      <c r="G113" s="127"/>
      <c r="H113" s="6"/>
    </row>
    <row r="114" spans="1:8" s="2" customFormat="1" ht="12.75">
      <c r="A114" s="132" t="s">
        <v>4</v>
      </c>
      <c r="B114" s="65" t="s">
        <v>5</v>
      </c>
      <c r="C114" s="58">
        <f>1130000+194000+113000</f>
        <v>1437000</v>
      </c>
      <c r="D114" s="63">
        <v>131045</v>
      </c>
      <c r="E114" s="58">
        <f>1130000+194000+113000</f>
        <v>1437000</v>
      </c>
      <c r="F114" s="58">
        <f aca="true" t="shared" si="4" ref="F114:F133">SUM(C114-E114)</f>
        <v>0</v>
      </c>
      <c r="G114" s="127"/>
      <c r="H114" s="6"/>
    </row>
    <row r="115" spans="1:8" s="2" customFormat="1" ht="12.75">
      <c r="A115" s="132" t="s">
        <v>144</v>
      </c>
      <c r="B115" s="65">
        <v>704</v>
      </c>
      <c r="C115" s="58"/>
      <c r="D115" s="63"/>
      <c r="E115" s="58"/>
      <c r="F115" s="58">
        <f t="shared" si="4"/>
        <v>0</v>
      </c>
      <c r="G115" s="127"/>
      <c r="H115" s="6"/>
    </row>
    <row r="116" spans="1:8" s="2" customFormat="1" ht="12.75">
      <c r="A116" s="132" t="s">
        <v>146</v>
      </c>
      <c r="B116" s="65">
        <v>706</v>
      </c>
      <c r="C116" s="58"/>
      <c r="D116" s="63"/>
      <c r="E116" s="58"/>
      <c r="F116" s="58">
        <f t="shared" si="4"/>
        <v>0</v>
      </c>
      <c r="G116" s="127"/>
      <c r="H116" s="6"/>
    </row>
    <row r="117" spans="1:8" s="2" customFormat="1" ht="12.75">
      <c r="A117" s="133" t="s">
        <v>10</v>
      </c>
      <c r="B117" s="65" t="s">
        <v>11</v>
      </c>
      <c r="C117" s="58">
        <v>72000</v>
      </c>
      <c r="D117" s="63">
        <v>6000</v>
      </c>
      <c r="E117" s="58">
        <v>72000</v>
      </c>
      <c r="F117" s="58">
        <f t="shared" si="4"/>
        <v>0</v>
      </c>
      <c r="G117" s="127"/>
      <c r="H117" s="6"/>
    </row>
    <row r="118" spans="1:8" s="2" customFormat="1" ht="12.75">
      <c r="A118" s="133" t="s">
        <v>12</v>
      </c>
      <c r="B118" s="65" t="s">
        <v>13</v>
      </c>
      <c r="C118" s="58"/>
      <c r="D118" s="63"/>
      <c r="E118" s="58"/>
      <c r="F118" s="58">
        <f t="shared" si="4"/>
        <v>0</v>
      </c>
      <c r="G118" s="127"/>
      <c r="H118" s="6"/>
    </row>
    <row r="119" spans="1:8" s="2" customFormat="1" ht="12.75">
      <c r="A119" s="133" t="s">
        <v>18</v>
      </c>
      <c r="B119" s="65" t="s">
        <v>19</v>
      </c>
      <c r="C119" s="58">
        <f>12000+3000</f>
        <v>15000</v>
      </c>
      <c r="D119" s="63"/>
      <c r="E119" s="58">
        <f>12000+3000</f>
        <v>15000</v>
      </c>
      <c r="F119" s="58">
        <f t="shared" si="4"/>
        <v>0</v>
      </c>
      <c r="G119" s="127"/>
      <c r="H119" s="6"/>
    </row>
    <row r="120" spans="1:8" s="2" customFormat="1" ht="12.75">
      <c r="A120" s="133" t="s">
        <v>20</v>
      </c>
      <c r="B120" s="65" t="s">
        <v>21</v>
      </c>
      <c r="C120" s="58">
        <v>1546000</v>
      </c>
      <c r="D120" s="63">
        <v>103502.67</v>
      </c>
      <c r="E120" s="58">
        <v>1546000</v>
      </c>
      <c r="F120" s="58">
        <f t="shared" si="4"/>
        <v>0</v>
      </c>
      <c r="G120" s="127"/>
      <c r="H120" s="6"/>
    </row>
    <row r="121" spans="1:8" s="2" customFormat="1" ht="12.75">
      <c r="A121" s="133" t="s">
        <v>22</v>
      </c>
      <c r="B121" s="65" t="s">
        <v>23</v>
      </c>
      <c r="C121" s="58">
        <f>105000+17000+16000</f>
        <v>138000</v>
      </c>
      <c r="D121" s="63"/>
      <c r="E121" s="58">
        <f>105000+17000+16000</f>
        <v>138000</v>
      </c>
      <c r="F121" s="58">
        <f t="shared" si="4"/>
        <v>0</v>
      </c>
      <c r="G121" s="127"/>
      <c r="H121" s="6"/>
    </row>
    <row r="122" spans="1:8" s="2" customFormat="1" ht="12.75">
      <c r="A122" s="133" t="s">
        <v>24</v>
      </c>
      <c r="B122" s="65" t="s">
        <v>25</v>
      </c>
      <c r="C122" s="58">
        <v>5000</v>
      </c>
      <c r="D122" s="63"/>
      <c r="E122" s="58">
        <v>5000</v>
      </c>
      <c r="F122" s="58">
        <f t="shared" si="4"/>
        <v>0</v>
      </c>
      <c r="G122" s="127"/>
      <c r="H122" s="6"/>
    </row>
    <row r="123" spans="1:8" s="2" customFormat="1" ht="12.75">
      <c r="A123" s="133" t="s">
        <v>26</v>
      </c>
      <c r="B123" s="65" t="s">
        <v>27</v>
      </c>
      <c r="C123" s="58">
        <v>6000</v>
      </c>
      <c r="D123" s="63"/>
      <c r="E123" s="58">
        <v>6000</v>
      </c>
      <c r="F123" s="58">
        <f t="shared" si="4"/>
        <v>0</v>
      </c>
      <c r="G123" s="127"/>
      <c r="H123" s="6"/>
    </row>
    <row r="124" spans="1:8" s="2" customFormat="1" ht="12.75">
      <c r="A124" s="133" t="s">
        <v>108</v>
      </c>
      <c r="B124" s="65">
        <v>723</v>
      </c>
      <c r="C124" s="58"/>
      <c r="D124" s="63"/>
      <c r="E124" s="58"/>
      <c r="F124" s="58">
        <f t="shared" si="4"/>
        <v>0</v>
      </c>
      <c r="G124" s="127"/>
      <c r="H124" s="6"/>
    </row>
    <row r="125" spans="1:8" s="2" customFormat="1" ht="12.75">
      <c r="A125" s="133" t="s">
        <v>30</v>
      </c>
      <c r="B125" s="65" t="s">
        <v>31</v>
      </c>
      <c r="C125" s="58">
        <f>136000+23000+14000</f>
        <v>173000</v>
      </c>
      <c r="D125" s="63"/>
      <c r="E125" s="58">
        <v>0</v>
      </c>
      <c r="F125" s="58">
        <f t="shared" si="4"/>
        <v>173000</v>
      </c>
      <c r="G125" s="127"/>
      <c r="H125" s="6"/>
    </row>
    <row r="126" spans="1:8" s="2" customFormat="1" ht="12.75">
      <c r="A126" s="133" t="s">
        <v>32</v>
      </c>
      <c r="B126" s="65" t="s">
        <v>33</v>
      </c>
      <c r="C126" s="58">
        <v>4000</v>
      </c>
      <c r="D126" s="63"/>
      <c r="E126" s="58">
        <v>4000</v>
      </c>
      <c r="F126" s="58">
        <f t="shared" si="4"/>
        <v>0</v>
      </c>
      <c r="G126" s="127"/>
      <c r="H126" s="6"/>
    </row>
    <row r="127" spans="1:8" s="2" customFormat="1" ht="12.75">
      <c r="A127" s="133" t="s">
        <v>34</v>
      </c>
      <c r="B127" s="65" t="s">
        <v>35</v>
      </c>
      <c r="C127" s="58">
        <v>8000</v>
      </c>
      <c r="D127" s="63"/>
      <c r="E127" s="58">
        <v>8000</v>
      </c>
      <c r="F127" s="58">
        <f t="shared" si="4"/>
        <v>0</v>
      </c>
      <c r="G127" s="127"/>
      <c r="H127" s="6"/>
    </row>
    <row r="128" spans="1:8" s="2" customFormat="1" ht="12.75">
      <c r="A128" s="133" t="s">
        <v>36</v>
      </c>
      <c r="B128" s="65" t="s">
        <v>37</v>
      </c>
      <c r="C128" s="58">
        <v>4000</v>
      </c>
      <c r="D128" s="63"/>
      <c r="E128" s="58">
        <v>4000</v>
      </c>
      <c r="F128" s="58">
        <f t="shared" si="4"/>
        <v>0</v>
      </c>
      <c r="G128" s="127"/>
      <c r="H128" s="6"/>
    </row>
    <row r="129" spans="1:8" s="2" customFormat="1" ht="12.75">
      <c r="A129" s="133" t="s">
        <v>119</v>
      </c>
      <c r="B129" s="65">
        <v>749</v>
      </c>
      <c r="C129" s="58"/>
      <c r="D129" s="63"/>
      <c r="E129" s="58"/>
      <c r="F129" s="58">
        <f t="shared" si="4"/>
        <v>0</v>
      </c>
      <c r="G129" s="127"/>
      <c r="H129" s="6"/>
    </row>
    <row r="130" spans="1:8" s="2" customFormat="1" ht="12.75">
      <c r="A130" s="133" t="s">
        <v>161</v>
      </c>
      <c r="B130" s="65">
        <v>749</v>
      </c>
      <c r="C130" s="58">
        <v>15000</v>
      </c>
      <c r="D130" s="63">
        <v>15000</v>
      </c>
      <c r="E130" s="58">
        <v>15000</v>
      </c>
      <c r="F130" s="58">
        <f t="shared" si="4"/>
        <v>0</v>
      </c>
      <c r="G130" s="127"/>
      <c r="H130" s="6"/>
    </row>
    <row r="131" spans="1:8" s="2" customFormat="1" ht="12.75">
      <c r="A131" s="133" t="s">
        <v>132</v>
      </c>
      <c r="B131" s="65">
        <v>749</v>
      </c>
      <c r="C131" s="58"/>
      <c r="D131" s="63">
        <v>38925</v>
      </c>
      <c r="E131" s="58"/>
      <c r="F131" s="58">
        <f t="shared" si="4"/>
        <v>0</v>
      </c>
      <c r="G131" s="127"/>
      <c r="H131" s="6"/>
    </row>
    <row r="132" spans="1:8" s="2" customFormat="1" ht="12.75">
      <c r="A132" s="133" t="s">
        <v>158</v>
      </c>
      <c r="B132" s="65">
        <v>749</v>
      </c>
      <c r="C132" s="58"/>
      <c r="D132" s="63"/>
      <c r="E132" s="58"/>
      <c r="F132" s="58">
        <f t="shared" si="4"/>
        <v>0</v>
      </c>
      <c r="G132" s="127"/>
      <c r="H132" s="6"/>
    </row>
    <row r="133" spans="1:8" s="2" customFormat="1" ht="13.5" thickBot="1">
      <c r="A133" s="133" t="s">
        <v>41</v>
      </c>
      <c r="B133" s="65" t="s">
        <v>42</v>
      </c>
      <c r="C133" s="58">
        <v>3000</v>
      </c>
      <c r="D133" s="63"/>
      <c r="E133" s="58">
        <v>3000</v>
      </c>
      <c r="F133" s="58">
        <f t="shared" si="4"/>
        <v>0</v>
      </c>
      <c r="G133" s="127"/>
      <c r="H133" s="6"/>
    </row>
    <row r="134" spans="1:8" s="2" customFormat="1" ht="13.5" thickBot="1">
      <c r="A134" s="164" t="s">
        <v>80</v>
      </c>
      <c r="B134" s="75"/>
      <c r="C134" s="60">
        <f>SUM(C114:C133)</f>
        <v>3426000</v>
      </c>
      <c r="D134" s="60">
        <f>SUM(D114:D133)</f>
        <v>294472.67</v>
      </c>
      <c r="E134" s="60">
        <f>SUM(E114:E133)</f>
        <v>3253000</v>
      </c>
      <c r="F134" s="115">
        <f>SUM(C134-E134)</f>
        <v>173000</v>
      </c>
      <c r="G134" s="168">
        <f>SUM(G114:G133)</f>
        <v>0</v>
      </c>
      <c r="H134" s="6"/>
    </row>
    <row r="135" spans="1:8" s="2" customFormat="1" ht="12.75">
      <c r="A135" s="165"/>
      <c r="B135" s="71"/>
      <c r="C135" s="73"/>
      <c r="D135" s="73"/>
      <c r="E135" s="73"/>
      <c r="F135" s="58">
        <f>SUM(C135-E135)</f>
        <v>0</v>
      </c>
      <c r="G135" s="140"/>
      <c r="H135" s="6"/>
    </row>
    <row r="136" spans="1:8" s="2" customFormat="1" ht="12.75">
      <c r="A136" s="158" t="s">
        <v>79</v>
      </c>
      <c r="B136" s="17"/>
      <c r="C136" s="63"/>
      <c r="D136" s="63"/>
      <c r="E136" s="63"/>
      <c r="F136" s="63"/>
      <c r="G136" s="127"/>
      <c r="H136" s="6"/>
    </row>
    <row r="137" spans="1:8" s="2" customFormat="1" ht="12.75">
      <c r="A137" s="156" t="s">
        <v>44</v>
      </c>
      <c r="B137" s="72">
        <v>751</v>
      </c>
      <c r="C137" s="58">
        <v>40000</v>
      </c>
      <c r="D137" s="63"/>
      <c r="E137" s="58">
        <v>40000</v>
      </c>
      <c r="F137" s="58">
        <f aca="true" t="shared" si="5" ref="F137:F143">SUM(C137-E137)</f>
        <v>0</v>
      </c>
      <c r="G137" s="127"/>
      <c r="H137" s="6"/>
    </row>
    <row r="138" spans="1:8" s="2" customFormat="1" ht="12.75">
      <c r="A138" s="156" t="s">
        <v>45</v>
      </c>
      <c r="B138" s="72">
        <v>772</v>
      </c>
      <c r="C138" s="93">
        <v>20000</v>
      </c>
      <c r="D138" s="63"/>
      <c r="E138" s="93">
        <v>20000</v>
      </c>
      <c r="F138" s="58">
        <f t="shared" si="5"/>
        <v>0</v>
      </c>
      <c r="G138" s="127"/>
      <c r="H138" s="6"/>
    </row>
    <row r="139" spans="1:8" s="2" customFormat="1" ht="12.75">
      <c r="A139" s="156" t="s">
        <v>62</v>
      </c>
      <c r="B139" s="72">
        <v>812</v>
      </c>
      <c r="C139" s="93">
        <v>48000</v>
      </c>
      <c r="D139" s="63"/>
      <c r="E139" s="93">
        <v>48000</v>
      </c>
      <c r="F139" s="58">
        <f t="shared" si="5"/>
        <v>0</v>
      </c>
      <c r="G139" s="127"/>
      <c r="H139" s="6"/>
    </row>
    <row r="140" spans="1:8" s="2" customFormat="1" ht="12.75">
      <c r="A140" s="156" t="s">
        <v>47</v>
      </c>
      <c r="B140" s="72">
        <v>755</v>
      </c>
      <c r="C140" s="93">
        <v>420000</v>
      </c>
      <c r="D140" s="63"/>
      <c r="E140" s="93">
        <v>420000</v>
      </c>
      <c r="F140" s="58">
        <f t="shared" si="5"/>
        <v>0</v>
      </c>
      <c r="G140" s="127"/>
      <c r="H140" s="6"/>
    </row>
    <row r="141" spans="1:8" s="2" customFormat="1" ht="12.75">
      <c r="A141" s="156" t="s">
        <v>59</v>
      </c>
      <c r="B141" s="72">
        <v>781</v>
      </c>
      <c r="C141" s="93">
        <v>100000</v>
      </c>
      <c r="D141" s="63"/>
      <c r="E141" s="93">
        <v>100000</v>
      </c>
      <c r="F141" s="58">
        <f t="shared" si="5"/>
        <v>0</v>
      </c>
      <c r="G141" s="127"/>
      <c r="H141" s="6"/>
    </row>
    <row r="142" spans="1:8" s="2" customFormat="1" ht="12.75">
      <c r="A142" s="156" t="s">
        <v>61</v>
      </c>
      <c r="B142" s="72">
        <v>969</v>
      </c>
      <c r="C142" s="93"/>
      <c r="D142" s="63"/>
      <c r="E142" s="93"/>
      <c r="F142" s="58">
        <f t="shared" si="5"/>
        <v>0</v>
      </c>
      <c r="G142" s="127"/>
      <c r="H142" s="6"/>
    </row>
    <row r="143" spans="1:8" s="2" customFormat="1" ht="13.5" thickBot="1">
      <c r="A143" s="156" t="s">
        <v>60</v>
      </c>
      <c r="B143" s="72">
        <v>778</v>
      </c>
      <c r="C143" s="93">
        <v>20000</v>
      </c>
      <c r="D143" s="63"/>
      <c r="E143" s="93">
        <v>20000</v>
      </c>
      <c r="F143" s="58">
        <f t="shared" si="5"/>
        <v>0</v>
      </c>
      <c r="G143" s="127"/>
      <c r="H143" s="6"/>
    </row>
    <row r="144" spans="1:8" s="2" customFormat="1" ht="13.5" thickBot="1">
      <c r="A144" s="161" t="s">
        <v>80</v>
      </c>
      <c r="B144" s="69"/>
      <c r="C144" s="94">
        <f>SUM(C137:C143)</f>
        <v>648000</v>
      </c>
      <c r="D144" s="94">
        <f>SUM(D137:D143)</f>
        <v>0</v>
      </c>
      <c r="E144" s="94">
        <f>SUM(E137:E143)</f>
        <v>648000</v>
      </c>
      <c r="F144" s="94">
        <f>SUM(F137:F143)</f>
        <v>0</v>
      </c>
      <c r="G144" s="142"/>
      <c r="H144" s="6"/>
    </row>
    <row r="145" spans="1:8" s="2" customFormat="1" ht="12.75">
      <c r="A145" s="139" t="s">
        <v>81</v>
      </c>
      <c r="B145" s="82"/>
      <c r="C145" s="73"/>
      <c r="D145" s="73"/>
      <c r="E145" s="73"/>
      <c r="F145" s="58"/>
      <c r="G145" s="140"/>
      <c r="H145" s="6"/>
    </row>
    <row r="146" spans="1:8" s="2" customFormat="1" ht="12.75">
      <c r="A146" s="162" t="s">
        <v>82</v>
      </c>
      <c r="B146" s="83"/>
      <c r="C146" s="63"/>
      <c r="D146" s="63"/>
      <c r="E146" s="63"/>
      <c r="F146" s="58">
        <f>SUM(C146-E146)</f>
        <v>0</v>
      </c>
      <c r="G146" s="127"/>
      <c r="H146" s="6"/>
    </row>
    <row r="147" spans="1:8" s="2" customFormat="1" ht="12.75">
      <c r="A147" s="133" t="s">
        <v>83</v>
      </c>
      <c r="B147" s="83"/>
      <c r="C147" s="63"/>
      <c r="D147" s="63"/>
      <c r="E147" s="63"/>
      <c r="F147" s="58">
        <f>SUM(C147-E147)</f>
        <v>0</v>
      </c>
      <c r="G147" s="127"/>
      <c r="H147" s="6"/>
    </row>
    <row r="148" spans="1:8" s="2" customFormat="1" ht="13.5" thickBot="1">
      <c r="A148" s="134" t="s">
        <v>84</v>
      </c>
      <c r="B148" s="95"/>
      <c r="C148" s="66"/>
      <c r="D148" s="66"/>
      <c r="E148" s="66"/>
      <c r="F148" s="58">
        <f>SUM(C148-E148)</f>
        <v>0</v>
      </c>
      <c r="G148" s="120"/>
      <c r="H148" s="6"/>
    </row>
    <row r="149" spans="1:8" s="2" customFormat="1" ht="13.5" thickBot="1">
      <c r="A149" s="141" t="s">
        <v>85</v>
      </c>
      <c r="B149" s="92"/>
      <c r="C149" s="76">
        <f>SUM(C146:C148)</f>
        <v>0</v>
      </c>
      <c r="D149" s="76"/>
      <c r="E149" s="76"/>
      <c r="F149" s="76"/>
      <c r="G149" s="142"/>
      <c r="H149" s="6"/>
    </row>
    <row r="150" spans="1:8" s="2" customFormat="1" ht="13.5" thickBot="1">
      <c r="A150" s="141" t="s">
        <v>86</v>
      </c>
      <c r="B150" s="92"/>
      <c r="C150" s="91">
        <f>SUM(C149+C144+C134)</f>
        <v>4074000</v>
      </c>
      <c r="D150" s="91">
        <f>SUM(D149+D144+D134)</f>
        <v>294472.67</v>
      </c>
      <c r="E150" s="91">
        <f>SUM(E149+E144+E134)</f>
        <v>3901000</v>
      </c>
      <c r="F150" s="91">
        <f>SUM(F149+F144+F134)</f>
        <v>173000</v>
      </c>
      <c r="G150" s="166"/>
      <c r="H150" s="6"/>
    </row>
    <row r="151" spans="1:8" s="2" customFormat="1" ht="15">
      <c r="A151" s="169" t="s">
        <v>43</v>
      </c>
      <c r="B151" s="96"/>
      <c r="C151" s="97"/>
      <c r="D151" s="97"/>
      <c r="E151" s="97"/>
      <c r="F151" s="97"/>
      <c r="G151" s="170"/>
      <c r="H151" s="5"/>
    </row>
    <row r="152" spans="1:12" s="2" customFormat="1" ht="13.5" thickBot="1">
      <c r="A152" s="171" t="s">
        <v>98</v>
      </c>
      <c r="B152" s="102"/>
      <c r="C152" s="103"/>
      <c r="D152" s="103"/>
      <c r="E152" s="103"/>
      <c r="F152" s="103"/>
      <c r="G152" s="172"/>
      <c r="H152" s="7"/>
      <c r="I152" s="7"/>
      <c r="J152" s="7"/>
      <c r="L152" s="7"/>
    </row>
    <row r="153" spans="1:12" s="2" customFormat="1" ht="13.5" thickBot="1">
      <c r="A153" s="173" t="s">
        <v>99</v>
      </c>
      <c r="B153" s="67"/>
      <c r="C153" s="73"/>
      <c r="D153" s="73"/>
      <c r="E153" s="73"/>
      <c r="F153" s="73"/>
      <c r="G153" s="140"/>
      <c r="H153" s="7"/>
      <c r="I153" s="7"/>
      <c r="J153" s="7"/>
      <c r="K153" s="7"/>
      <c r="L153" s="7"/>
    </row>
    <row r="154" spans="1:12" s="2" customFormat="1" ht="12.75">
      <c r="A154" s="139" t="s">
        <v>0</v>
      </c>
      <c r="B154" s="65"/>
      <c r="C154" s="63"/>
      <c r="D154" s="63"/>
      <c r="E154" s="63"/>
      <c r="F154" s="63"/>
      <c r="G154" s="127"/>
      <c r="H154" s="7"/>
      <c r="I154" s="7"/>
      <c r="J154" s="7"/>
      <c r="K154" s="7"/>
      <c r="L154" s="7"/>
    </row>
    <row r="155" spans="1:14" s="2" customFormat="1" ht="12.75">
      <c r="A155" s="132" t="s">
        <v>4</v>
      </c>
      <c r="B155" s="65" t="s">
        <v>5</v>
      </c>
      <c r="C155" s="58">
        <f>82356000+10570000+5952000+8017887</f>
        <v>106895887</v>
      </c>
      <c r="D155" s="63">
        <f>7752726.24+1930303.74+3750153.47</f>
        <v>13433183.450000001</v>
      </c>
      <c r="E155" s="58">
        <f>82356000+10570000+5952000+8017887</f>
        <v>106895887</v>
      </c>
      <c r="F155" s="58">
        <f aca="true" t="shared" si="6" ref="F155:F175">SUM(C155-E155)</f>
        <v>0</v>
      </c>
      <c r="G155" s="127"/>
      <c r="H155" s="9"/>
      <c r="I155" s="9"/>
      <c r="J155" s="9"/>
      <c r="K155" s="9"/>
      <c r="L155" s="9"/>
      <c r="M155" s="9"/>
      <c r="N155" s="10"/>
    </row>
    <row r="156" spans="1:31" s="2" customFormat="1" ht="12.75">
      <c r="A156" s="132" t="s">
        <v>8</v>
      </c>
      <c r="B156" s="65" t="s">
        <v>9</v>
      </c>
      <c r="C156" s="58">
        <v>725000</v>
      </c>
      <c r="D156" s="63">
        <v>56691.46</v>
      </c>
      <c r="E156" s="58">
        <v>725000</v>
      </c>
      <c r="F156" s="58">
        <f t="shared" si="6"/>
        <v>0</v>
      </c>
      <c r="G156" s="127"/>
      <c r="H156" s="14"/>
      <c r="I156" s="14"/>
      <c r="J156" s="14"/>
      <c r="K156" s="14"/>
      <c r="L156" s="14"/>
      <c r="M156" s="14"/>
      <c r="N156" s="14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</row>
    <row r="157" spans="1:31" s="2" customFormat="1" ht="12.75">
      <c r="A157" s="132" t="s">
        <v>120</v>
      </c>
      <c r="B157" s="65">
        <v>706</v>
      </c>
      <c r="C157" s="58"/>
      <c r="D157" s="63"/>
      <c r="E157" s="58"/>
      <c r="F157" s="58">
        <f t="shared" si="6"/>
        <v>0</v>
      </c>
      <c r="G157" s="127"/>
      <c r="H157" s="14"/>
      <c r="I157" s="14"/>
      <c r="J157" s="14"/>
      <c r="K157" s="14"/>
      <c r="L157" s="14"/>
      <c r="M157" s="14"/>
      <c r="N157" s="14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</row>
    <row r="158" spans="1:31" s="2" customFormat="1" ht="12.75">
      <c r="A158" s="133" t="s">
        <v>10</v>
      </c>
      <c r="B158" s="65" t="s">
        <v>11</v>
      </c>
      <c r="C158" s="58">
        <v>7560000</v>
      </c>
      <c r="D158" s="63">
        <v>566208.27</v>
      </c>
      <c r="E158" s="58">
        <v>7560000</v>
      </c>
      <c r="F158" s="58">
        <f t="shared" si="6"/>
        <v>0</v>
      </c>
      <c r="G158" s="127"/>
      <c r="H158" s="14"/>
      <c r="I158" s="14"/>
      <c r="J158" s="14"/>
      <c r="K158" s="14"/>
      <c r="L158" s="14"/>
      <c r="M158" s="14"/>
      <c r="N158" s="14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</row>
    <row r="159" spans="1:31" s="2" customFormat="1" ht="12.75">
      <c r="A159" s="133" t="s">
        <v>12</v>
      </c>
      <c r="B159" s="65" t="s">
        <v>13</v>
      </c>
      <c r="C159" s="58"/>
      <c r="D159" s="63"/>
      <c r="E159" s="58"/>
      <c r="F159" s="58">
        <f t="shared" si="6"/>
        <v>0</v>
      </c>
      <c r="G159" s="127"/>
      <c r="H159" s="14"/>
      <c r="I159" s="14"/>
      <c r="J159" s="14"/>
      <c r="K159" s="14"/>
      <c r="L159" s="14"/>
      <c r="M159" s="14"/>
      <c r="N159" s="14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</row>
    <row r="160" spans="1:31" s="2" customFormat="1" ht="12.75">
      <c r="A160" s="133" t="s">
        <v>18</v>
      </c>
      <c r="B160" s="65" t="s">
        <v>19</v>
      </c>
      <c r="C160" s="58">
        <f>1260000+322000</f>
        <v>1582000</v>
      </c>
      <c r="D160" s="63"/>
      <c r="E160" s="58">
        <f>1260000+322000</f>
        <v>1582000</v>
      </c>
      <c r="F160" s="58">
        <f t="shared" si="6"/>
        <v>0</v>
      </c>
      <c r="G160" s="127"/>
      <c r="H160" s="14"/>
      <c r="I160" s="14"/>
      <c r="J160" s="14"/>
      <c r="K160" s="14"/>
      <c r="L160" s="14"/>
      <c r="M160" s="14"/>
      <c r="N160" s="14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</row>
    <row r="161" spans="1:31" s="2" customFormat="1" ht="12.75">
      <c r="A161" s="133" t="s">
        <v>20</v>
      </c>
      <c r="B161" s="65" t="s">
        <v>21</v>
      </c>
      <c r="C161" s="58">
        <v>1465000</v>
      </c>
      <c r="D161" s="63">
        <v>1469964.09</v>
      </c>
      <c r="E161" s="58">
        <v>1465000</v>
      </c>
      <c r="F161" s="58">
        <f t="shared" si="6"/>
        <v>0</v>
      </c>
      <c r="G161" s="127"/>
      <c r="H161" s="14"/>
      <c r="I161" s="14"/>
      <c r="J161" s="14"/>
      <c r="K161" s="14"/>
      <c r="L161" s="14"/>
      <c r="M161" s="14"/>
      <c r="N161" s="14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</row>
    <row r="162" spans="1:31" s="2" customFormat="1" ht="12.75">
      <c r="A162" s="133" t="s">
        <v>108</v>
      </c>
      <c r="B162" s="65">
        <v>723</v>
      </c>
      <c r="C162" s="58"/>
      <c r="D162" s="63"/>
      <c r="E162" s="58"/>
      <c r="F162" s="58">
        <f t="shared" si="6"/>
        <v>0</v>
      </c>
      <c r="G162" s="127"/>
      <c r="H162" s="14"/>
      <c r="I162" s="14"/>
      <c r="J162" s="14"/>
      <c r="K162" s="14"/>
      <c r="L162" s="14"/>
      <c r="M162" s="14"/>
      <c r="N162" s="14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</row>
    <row r="163" spans="1:31" s="2" customFormat="1" ht="12.75">
      <c r="A163" s="133" t="s">
        <v>22</v>
      </c>
      <c r="B163" s="65" t="s">
        <v>23</v>
      </c>
      <c r="C163" s="58">
        <f>6794000+881000+850000</f>
        <v>8525000</v>
      </c>
      <c r="D163" s="63"/>
      <c r="E163" s="58">
        <f>6794000+881000+850000</f>
        <v>8525000</v>
      </c>
      <c r="F163" s="58">
        <f t="shared" si="6"/>
        <v>0</v>
      </c>
      <c r="G163" s="127"/>
      <c r="H163" s="14"/>
      <c r="I163" s="14"/>
      <c r="J163" s="14"/>
      <c r="K163" s="14"/>
      <c r="L163" s="14"/>
      <c r="M163" s="14"/>
      <c r="N163" s="14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</row>
    <row r="164" spans="1:31" s="2" customFormat="1" ht="12.75">
      <c r="A164" s="133" t="s">
        <v>24</v>
      </c>
      <c r="B164" s="65" t="s">
        <v>25</v>
      </c>
      <c r="C164" s="58">
        <v>1644000</v>
      </c>
      <c r="D164" s="63"/>
      <c r="E164" s="58">
        <v>1644000</v>
      </c>
      <c r="F164" s="58">
        <f t="shared" si="6"/>
        <v>0</v>
      </c>
      <c r="G164" s="127"/>
      <c r="H164" s="14"/>
      <c r="I164" s="14"/>
      <c r="J164" s="14"/>
      <c r="K164" s="14"/>
      <c r="L164" s="14"/>
      <c r="M164" s="14"/>
      <c r="N164" s="14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</row>
    <row r="165" spans="1:31" s="2" customFormat="1" ht="12.75">
      <c r="A165" s="133" t="s">
        <v>26</v>
      </c>
      <c r="B165" s="65" t="s">
        <v>27</v>
      </c>
      <c r="C165" s="58">
        <v>630000</v>
      </c>
      <c r="D165" s="63"/>
      <c r="E165" s="58">
        <v>630000</v>
      </c>
      <c r="F165" s="58">
        <f t="shared" si="6"/>
        <v>0</v>
      </c>
      <c r="G165" s="127"/>
      <c r="H165" s="14"/>
      <c r="I165" s="14"/>
      <c r="J165" s="14"/>
      <c r="K165" s="14"/>
      <c r="L165" s="14"/>
      <c r="M165" s="14"/>
      <c r="N165" s="14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</row>
    <row r="166" spans="1:31" s="2" customFormat="1" ht="12.75">
      <c r="A166" s="133" t="s">
        <v>30</v>
      </c>
      <c r="B166" s="65" t="s">
        <v>31</v>
      </c>
      <c r="C166" s="58">
        <f>9883000+1268000+714000+778726</f>
        <v>12643726</v>
      </c>
      <c r="D166" s="63"/>
      <c r="E166" s="58">
        <f>9883000+1268000+714000+778726</f>
        <v>12643726</v>
      </c>
      <c r="F166" s="58">
        <f t="shared" si="6"/>
        <v>0</v>
      </c>
      <c r="G166" s="127"/>
      <c r="H166" s="14"/>
      <c r="I166" s="14"/>
      <c r="J166" s="14"/>
      <c r="K166" s="14"/>
      <c r="L166" s="14"/>
      <c r="M166" s="14"/>
      <c r="N166" s="14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</row>
    <row r="167" spans="1:31" s="2" customFormat="1" ht="12.75">
      <c r="A167" s="133" t="s">
        <v>32</v>
      </c>
      <c r="B167" s="65" t="s">
        <v>33</v>
      </c>
      <c r="C167" s="58">
        <v>378000</v>
      </c>
      <c r="D167" s="63"/>
      <c r="E167" s="58">
        <v>378000</v>
      </c>
      <c r="F167" s="58">
        <f t="shared" si="6"/>
        <v>0</v>
      </c>
      <c r="G167" s="127"/>
      <c r="H167" s="14"/>
      <c r="I167" s="14"/>
      <c r="J167" s="14"/>
      <c r="K167" s="14"/>
      <c r="L167" s="14"/>
      <c r="M167" s="14"/>
      <c r="N167" s="14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</row>
    <row r="168" spans="1:31" s="2" customFormat="1" ht="12.75">
      <c r="A168" s="133" t="s">
        <v>34</v>
      </c>
      <c r="B168" s="65" t="s">
        <v>35</v>
      </c>
      <c r="C168" s="58">
        <f>790000+42000+28000</f>
        <v>860000</v>
      </c>
      <c r="D168" s="63"/>
      <c r="E168" s="58">
        <f>790000+42000+28000</f>
        <v>860000</v>
      </c>
      <c r="F168" s="58">
        <f t="shared" si="6"/>
        <v>0</v>
      </c>
      <c r="G168" s="127"/>
      <c r="H168" s="14"/>
      <c r="I168" s="14"/>
      <c r="J168" s="14"/>
      <c r="K168" s="14"/>
      <c r="L168" s="14"/>
      <c r="M168" s="14"/>
      <c r="N168" s="14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</row>
    <row r="169" spans="1:31" s="2" customFormat="1" ht="12.75">
      <c r="A169" s="174" t="s">
        <v>36</v>
      </c>
      <c r="B169" s="108" t="s">
        <v>37</v>
      </c>
      <c r="C169" s="58">
        <f>375000+1000+1000</f>
        <v>377000</v>
      </c>
      <c r="D169" s="109"/>
      <c r="E169" s="58">
        <f>375000+1000+1000</f>
        <v>377000</v>
      </c>
      <c r="F169" s="58">
        <f t="shared" si="6"/>
        <v>0</v>
      </c>
      <c r="G169" s="175"/>
      <c r="H169" s="14"/>
      <c r="I169" s="14"/>
      <c r="J169" s="14"/>
      <c r="K169" s="14"/>
      <c r="L169" s="14"/>
      <c r="M169" s="14"/>
      <c r="N169" s="14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</row>
    <row r="170" spans="1:31" s="2" customFormat="1" ht="12.75">
      <c r="A170" s="174" t="s">
        <v>118</v>
      </c>
      <c r="B170" s="108">
        <v>721</v>
      </c>
      <c r="C170" s="63"/>
      <c r="D170" s="63"/>
      <c r="E170" s="63"/>
      <c r="F170" s="58">
        <f t="shared" si="6"/>
        <v>0</v>
      </c>
      <c r="G170" s="175"/>
      <c r="H170" s="14"/>
      <c r="I170" s="14"/>
      <c r="J170" s="14"/>
      <c r="K170" s="14"/>
      <c r="L170" s="14"/>
      <c r="M170" s="14"/>
      <c r="N170" s="14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</row>
    <row r="171" spans="1:31" s="2" customFormat="1" ht="12.75">
      <c r="A171" s="174" t="s">
        <v>119</v>
      </c>
      <c r="B171" s="108">
        <v>749</v>
      </c>
      <c r="C171" s="63"/>
      <c r="D171" s="63"/>
      <c r="E171" s="63"/>
      <c r="F171" s="58">
        <f t="shared" si="6"/>
        <v>0</v>
      </c>
      <c r="G171" s="175"/>
      <c r="H171" s="14"/>
      <c r="I171" s="14"/>
      <c r="J171" s="14"/>
      <c r="K171" s="14"/>
      <c r="L171" s="14"/>
      <c r="M171" s="14"/>
      <c r="N171" s="14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</row>
    <row r="172" spans="1:31" s="2" customFormat="1" ht="12.75">
      <c r="A172" s="174" t="s">
        <v>161</v>
      </c>
      <c r="B172" s="108">
        <v>749</v>
      </c>
      <c r="C172" s="109">
        <v>1610000</v>
      </c>
      <c r="D172" s="109">
        <v>1418500</v>
      </c>
      <c r="E172" s="109">
        <v>1610000</v>
      </c>
      <c r="F172" s="58">
        <f t="shared" si="6"/>
        <v>0</v>
      </c>
      <c r="G172" s="175"/>
      <c r="H172" s="14"/>
      <c r="I172" s="14"/>
      <c r="J172" s="14"/>
      <c r="K172" s="14"/>
      <c r="L172" s="14"/>
      <c r="M172" s="14"/>
      <c r="N172" s="14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</row>
    <row r="173" spans="1:31" s="2" customFormat="1" ht="12.75">
      <c r="A173" s="174" t="s">
        <v>132</v>
      </c>
      <c r="B173" s="108">
        <v>749</v>
      </c>
      <c r="C173" s="109"/>
      <c r="D173" s="109"/>
      <c r="E173" s="109"/>
      <c r="F173" s="58">
        <f t="shared" si="6"/>
        <v>0</v>
      </c>
      <c r="G173" s="175"/>
      <c r="H173" s="14"/>
      <c r="I173" s="14"/>
      <c r="J173" s="14"/>
      <c r="K173" s="14"/>
      <c r="L173" s="14"/>
      <c r="M173" s="14"/>
      <c r="N173" s="14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</row>
    <row r="174" spans="1:31" s="2" customFormat="1" ht="12.75">
      <c r="A174" s="174" t="s">
        <v>158</v>
      </c>
      <c r="B174" s="108">
        <v>749</v>
      </c>
      <c r="C174" s="109"/>
      <c r="D174" s="109"/>
      <c r="E174" s="109"/>
      <c r="F174" s="58">
        <f t="shared" si="6"/>
        <v>0</v>
      </c>
      <c r="G174" s="175"/>
      <c r="H174" s="14"/>
      <c r="I174" s="14"/>
      <c r="J174" s="14"/>
      <c r="K174" s="14"/>
      <c r="L174" s="14"/>
      <c r="M174" s="14"/>
      <c r="N174" s="14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</row>
    <row r="175" spans="1:31" s="2" customFormat="1" ht="13.5" thickBot="1">
      <c r="A175" s="133" t="s">
        <v>41</v>
      </c>
      <c r="B175" s="74" t="s">
        <v>42</v>
      </c>
      <c r="C175" s="66">
        <v>206000</v>
      </c>
      <c r="D175" s="66"/>
      <c r="E175" s="66">
        <v>206000</v>
      </c>
      <c r="F175" s="58">
        <f t="shared" si="6"/>
        <v>0</v>
      </c>
      <c r="G175" s="127"/>
      <c r="H175" s="14"/>
      <c r="I175" s="14"/>
      <c r="J175" s="14"/>
      <c r="K175" s="14"/>
      <c r="L175" s="14"/>
      <c r="M175" s="14"/>
      <c r="N175" s="14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</row>
    <row r="176" spans="1:31" s="2" customFormat="1" ht="13.5" thickBot="1">
      <c r="A176" s="176" t="s">
        <v>80</v>
      </c>
      <c r="B176" s="116"/>
      <c r="C176" s="112">
        <f>SUM(C154:C175)</f>
        <v>145101613</v>
      </c>
      <c r="D176" s="113">
        <f>SUM(D155:D175)</f>
        <v>16944547.270000003</v>
      </c>
      <c r="E176" s="113">
        <f>SUM(E155:E175)</f>
        <v>145101613</v>
      </c>
      <c r="F176" s="117">
        <f>SUM(F155:F175)</f>
        <v>0</v>
      </c>
      <c r="G176" s="177">
        <f>SUM(G155:G175)</f>
        <v>0</v>
      </c>
      <c r="H176" s="14"/>
      <c r="I176" s="14"/>
      <c r="J176" s="14"/>
      <c r="K176" s="14"/>
      <c r="L176" s="14"/>
      <c r="M176" s="14"/>
      <c r="N176" s="14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</row>
    <row r="177" spans="1:31" s="2" customFormat="1" ht="12.75">
      <c r="A177" s="165"/>
      <c r="B177" s="71"/>
      <c r="C177" s="73"/>
      <c r="D177" s="73"/>
      <c r="E177" s="73"/>
      <c r="F177" s="73"/>
      <c r="G177" s="140"/>
      <c r="H177" s="14"/>
      <c r="I177" s="14"/>
      <c r="J177" s="14"/>
      <c r="K177" s="14"/>
      <c r="L177" s="14"/>
      <c r="M177" s="14"/>
      <c r="N177" s="14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</row>
    <row r="178" spans="1:31" s="2" customFormat="1" ht="12.75">
      <c r="A178" s="158" t="s">
        <v>79</v>
      </c>
      <c r="B178" s="17"/>
      <c r="C178" s="63"/>
      <c r="D178" s="63"/>
      <c r="E178" s="63"/>
      <c r="F178" s="63"/>
      <c r="G178" s="127"/>
      <c r="H178" s="14"/>
      <c r="I178" s="14"/>
      <c r="J178" s="14"/>
      <c r="K178" s="14"/>
      <c r="L178" s="14"/>
      <c r="M178" s="14"/>
      <c r="N178" s="14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</row>
    <row r="179" spans="1:31" s="2" customFormat="1" ht="12.75">
      <c r="A179" s="156" t="s">
        <v>44</v>
      </c>
      <c r="B179" s="72">
        <v>751</v>
      </c>
      <c r="C179" s="58">
        <v>364000</v>
      </c>
      <c r="D179" s="63"/>
      <c r="E179" s="58">
        <v>364000</v>
      </c>
      <c r="F179" s="58">
        <f aca="true" t="shared" si="7" ref="F179:F188">SUM(C179-E179)</f>
        <v>0</v>
      </c>
      <c r="G179" s="127"/>
      <c r="H179" s="14"/>
      <c r="I179" s="14"/>
      <c r="J179" s="14"/>
      <c r="K179" s="14"/>
      <c r="L179" s="14"/>
      <c r="M179" s="14"/>
      <c r="N179" s="14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</row>
    <row r="180" spans="1:31" s="2" customFormat="1" ht="12.75">
      <c r="A180" s="156" t="s">
        <v>111</v>
      </c>
      <c r="B180" s="72">
        <v>754</v>
      </c>
      <c r="C180" s="190">
        <f>200000+25000+250000+100000+250000+100000</f>
        <v>925000</v>
      </c>
      <c r="D180" s="63">
        <v>100000</v>
      </c>
      <c r="E180" s="190">
        <f>200000+25000+250000+100000+250000+100000</f>
        <v>925000</v>
      </c>
      <c r="F180" s="58">
        <f t="shared" si="7"/>
        <v>0</v>
      </c>
      <c r="G180" s="127"/>
      <c r="H180" s="14"/>
      <c r="I180" s="14"/>
      <c r="J180" s="14"/>
      <c r="K180" s="14"/>
      <c r="L180" s="14"/>
      <c r="M180" s="14"/>
      <c r="N180" s="14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</row>
    <row r="181" spans="1:31" s="2" customFormat="1" ht="12.75">
      <c r="A181" s="156" t="s">
        <v>45</v>
      </c>
      <c r="B181" s="72">
        <v>772</v>
      </c>
      <c r="C181" s="93">
        <v>195000</v>
      </c>
      <c r="D181" s="63"/>
      <c r="E181" s="93">
        <v>195000</v>
      </c>
      <c r="F181" s="58">
        <f t="shared" si="7"/>
        <v>0</v>
      </c>
      <c r="G181" s="127"/>
      <c r="H181" s="12"/>
      <c r="I181" s="12"/>
      <c r="J181" s="12"/>
      <c r="K181" s="12"/>
      <c r="L181" s="12"/>
      <c r="M181" s="12"/>
      <c r="N181" s="14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</row>
    <row r="182" spans="1:31" s="2" customFormat="1" ht="12.75">
      <c r="A182" s="156" t="s">
        <v>62</v>
      </c>
      <c r="B182" s="72">
        <v>812</v>
      </c>
      <c r="C182" s="93">
        <v>1181000</v>
      </c>
      <c r="D182" s="63"/>
      <c r="E182" s="93">
        <v>1181000</v>
      </c>
      <c r="F182" s="58">
        <f t="shared" si="7"/>
        <v>0</v>
      </c>
      <c r="G182" s="127"/>
      <c r="H182" s="14"/>
      <c r="I182" s="14"/>
      <c r="J182" s="14"/>
      <c r="K182" s="14"/>
      <c r="L182" s="14"/>
      <c r="M182" s="14"/>
      <c r="N182" s="14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</row>
    <row r="183" spans="1:7" s="2" customFormat="1" ht="12.75">
      <c r="A183" s="156" t="s">
        <v>47</v>
      </c>
      <c r="B183" s="72">
        <v>755</v>
      </c>
      <c r="C183" s="93">
        <v>1214000</v>
      </c>
      <c r="D183" s="63"/>
      <c r="E183" s="93">
        <v>1214000</v>
      </c>
      <c r="F183" s="58">
        <f t="shared" si="7"/>
        <v>0</v>
      </c>
      <c r="G183" s="127"/>
    </row>
    <row r="184" spans="1:8" s="2" customFormat="1" ht="15">
      <c r="A184" s="156" t="s">
        <v>59</v>
      </c>
      <c r="B184" s="72">
        <v>781</v>
      </c>
      <c r="C184" s="93">
        <v>200000</v>
      </c>
      <c r="D184" s="63"/>
      <c r="E184" s="93">
        <v>200000</v>
      </c>
      <c r="F184" s="58">
        <f t="shared" si="7"/>
        <v>0</v>
      </c>
      <c r="G184" s="127"/>
      <c r="H184" s="5"/>
    </row>
    <row r="185" spans="1:8" s="2" customFormat="1" ht="15">
      <c r="A185" s="156" t="s">
        <v>60</v>
      </c>
      <c r="B185" s="72">
        <v>778</v>
      </c>
      <c r="C185" s="93">
        <v>300000</v>
      </c>
      <c r="D185" s="63"/>
      <c r="E185" s="93">
        <v>300000</v>
      </c>
      <c r="F185" s="58">
        <f t="shared" si="7"/>
        <v>0</v>
      </c>
      <c r="G185" s="127"/>
      <c r="H185" s="5"/>
    </row>
    <row r="186" spans="1:8" s="2" customFormat="1" ht="15">
      <c r="A186" s="156" t="s">
        <v>49</v>
      </c>
      <c r="B186" s="72">
        <v>767</v>
      </c>
      <c r="C186" s="93">
        <v>2877000</v>
      </c>
      <c r="D186" s="63"/>
      <c r="E186" s="93">
        <v>2877000</v>
      </c>
      <c r="F186" s="58">
        <f t="shared" si="7"/>
        <v>0</v>
      </c>
      <c r="G186" s="127"/>
      <c r="H186" s="5"/>
    </row>
    <row r="187" spans="1:8" s="2" customFormat="1" ht="15">
      <c r="A187" s="156" t="s">
        <v>50</v>
      </c>
      <c r="B187" s="72">
        <v>753</v>
      </c>
      <c r="C187" s="93">
        <v>1000000</v>
      </c>
      <c r="D187" s="63"/>
      <c r="E187" s="93">
        <v>1000000</v>
      </c>
      <c r="F187" s="58">
        <f t="shared" si="7"/>
        <v>0</v>
      </c>
      <c r="G187" s="127"/>
      <c r="H187" s="5"/>
    </row>
    <row r="188" spans="1:8" s="2" customFormat="1" ht="15.75" thickBot="1">
      <c r="A188" s="156" t="s">
        <v>61</v>
      </c>
      <c r="B188" s="72">
        <v>969</v>
      </c>
      <c r="C188" s="93">
        <v>2233000</v>
      </c>
      <c r="D188" s="66"/>
      <c r="E188" s="93">
        <v>2233000</v>
      </c>
      <c r="F188" s="58">
        <f t="shared" si="7"/>
        <v>0</v>
      </c>
      <c r="G188" s="120"/>
      <c r="H188" s="5"/>
    </row>
    <row r="189" spans="1:7" s="2" customFormat="1" ht="13.5" thickBot="1">
      <c r="A189" s="161" t="s">
        <v>80</v>
      </c>
      <c r="B189" s="69"/>
      <c r="C189" s="94">
        <f>SUM(C179:C188)</f>
        <v>10489000</v>
      </c>
      <c r="D189" s="94">
        <f>SUM(D179:D188)</f>
        <v>100000</v>
      </c>
      <c r="E189" s="94">
        <f>SUM(E179:E188)</f>
        <v>10489000</v>
      </c>
      <c r="F189" s="94">
        <f>SUM(F179:F188)</f>
        <v>0</v>
      </c>
      <c r="G189" s="142"/>
    </row>
    <row r="190" spans="1:8" s="2" customFormat="1" ht="15.75" thickBot="1">
      <c r="A190" s="139" t="s">
        <v>81</v>
      </c>
      <c r="B190" s="82"/>
      <c r="C190" s="73"/>
      <c r="D190" s="73"/>
      <c r="E190" s="73"/>
      <c r="F190" s="73"/>
      <c r="G190" s="140"/>
      <c r="H190" s="5"/>
    </row>
    <row r="191" spans="1:8" s="2" customFormat="1" ht="15.75" thickBot="1">
      <c r="A191" s="141" t="s">
        <v>85</v>
      </c>
      <c r="B191" s="92"/>
      <c r="C191" s="76"/>
      <c r="D191" s="76"/>
      <c r="E191" s="76"/>
      <c r="F191" s="76"/>
      <c r="G191" s="142"/>
      <c r="H191" s="144"/>
    </row>
    <row r="192" spans="1:12" s="2" customFormat="1" ht="13.5" thickBot="1">
      <c r="A192" s="141" t="s">
        <v>86</v>
      </c>
      <c r="B192" s="92"/>
      <c r="C192" s="91">
        <f>SUM(C191+C189+C176)</f>
        <v>155590613</v>
      </c>
      <c r="D192" s="91">
        <f>SUM(D191+D189+D176)</f>
        <v>17044547.270000003</v>
      </c>
      <c r="E192" s="91">
        <f>SUM(E191+E189+E176)</f>
        <v>155590613</v>
      </c>
      <c r="F192" s="91">
        <f>SUM(F191+F189+F176)</f>
        <v>0</v>
      </c>
      <c r="G192" s="166"/>
      <c r="H192" s="7"/>
      <c r="I192" s="7"/>
      <c r="J192" s="7"/>
      <c r="K192" s="7"/>
      <c r="L192" s="7"/>
    </row>
    <row r="193" spans="1:8" s="2" customFormat="1" ht="12.75">
      <c r="A193" s="139" t="s">
        <v>87</v>
      </c>
      <c r="B193" s="67"/>
      <c r="C193" s="73"/>
      <c r="D193" s="89"/>
      <c r="E193" s="73"/>
      <c r="F193" s="73"/>
      <c r="G193" s="140"/>
      <c r="H193" s="6"/>
    </row>
    <row r="194" spans="1:8" s="2" customFormat="1" ht="12.75">
      <c r="A194" s="133" t="s">
        <v>147</v>
      </c>
      <c r="B194" s="65"/>
      <c r="C194" s="63"/>
      <c r="D194" s="78"/>
      <c r="E194" s="63"/>
      <c r="F194" s="63"/>
      <c r="G194" s="127"/>
      <c r="H194" s="6"/>
    </row>
    <row r="195" spans="1:8" s="2" customFormat="1" ht="13.5" thickBot="1">
      <c r="A195" s="133" t="s">
        <v>111</v>
      </c>
      <c r="B195" s="65">
        <v>754</v>
      </c>
      <c r="C195" s="63">
        <v>900000</v>
      </c>
      <c r="D195" s="78">
        <v>50000</v>
      </c>
      <c r="E195" s="63">
        <f>550000+300000+50000</f>
        <v>900000</v>
      </c>
      <c r="F195" s="58">
        <f>SUM(C195-E195)</f>
        <v>0</v>
      </c>
      <c r="G195" s="127"/>
      <c r="H195" s="6"/>
    </row>
    <row r="196" spans="1:8" s="2" customFormat="1" ht="13.5" thickBot="1">
      <c r="A196" s="184" t="s">
        <v>88</v>
      </c>
      <c r="B196" s="185"/>
      <c r="C196" s="98">
        <f>SUM(C195:C195)</f>
        <v>900000</v>
      </c>
      <c r="D196" s="98">
        <f>SUM(D195:D195)</f>
        <v>50000</v>
      </c>
      <c r="E196" s="98">
        <f>SUM(E195:E195)</f>
        <v>900000</v>
      </c>
      <c r="F196" s="98">
        <f>SUM(F195:F195)</f>
        <v>0</v>
      </c>
      <c r="G196" s="182"/>
      <c r="H196" s="6"/>
    </row>
    <row r="197" spans="1:8" s="2" customFormat="1" ht="13.5" thickBot="1">
      <c r="A197" s="141" t="s">
        <v>148</v>
      </c>
      <c r="B197" s="75"/>
      <c r="C197" s="76">
        <f>+C196+C192</f>
        <v>156490613</v>
      </c>
      <c r="D197" s="76">
        <f>+D196+D192</f>
        <v>17094547.270000003</v>
      </c>
      <c r="E197" s="76">
        <f>+E196+E192</f>
        <v>156490613</v>
      </c>
      <c r="F197" s="76">
        <f>+F196+F192</f>
        <v>0</v>
      </c>
      <c r="G197" s="142"/>
      <c r="H197" s="6"/>
    </row>
    <row r="198" spans="1:25" s="2" customFormat="1" ht="13.5" thickBot="1">
      <c r="A198" s="104" t="s">
        <v>43</v>
      </c>
      <c r="B198" s="8"/>
      <c r="C198" s="15"/>
      <c r="D198" s="15"/>
      <c r="E198" s="15"/>
      <c r="F198" s="15"/>
      <c r="G198" s="178"/>
      <c r="H198" s="19"/>
      <c r="I198" s="19"/>
      <c r="J198" s="19"/>
      <c r="K198" s="19"/>
      <c r="L198" s="19"/>
      <c r="M198" s="19"/>
      <c r="N198" s="14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s="2" customFormat="1" ht="13.5" thickBot="1">
      <c r="A199" s="163" t="s">
        <v>100</v>
      </c>
      <c r="B199" s="8"/>
      <c r="C199" s="15"/>
      <c r="D199" s="15"/>
      <c r="E199" s="15"/>
      <c r="F199" s="15"/>
      <c r="G199" s="178"/>
      <c r="H199" s="19"/>
      <c r="I199" s="19"/>
      <c r="J199" s="19"/>
      <c r="K199" s="19"/>
      <c r="L199" s="19"/>
      <c r="M199" s="19"/>
      <c r="N199" s="14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s="2" customFormat="1" ht="12.75">
      <c r="A200" s="139" t="s">
        <v>0</v>
      </c>
      <c r="B200" s="65"/>
      <c r="C200" s="63"/>
      <c r="D200" s="63"/>
      <c r="E200" s="63"/>
      <c r="F200" s="63"/>
      <c r="G200" s="127"/>
      <c r="H200" s="19"/>
      <c r="I200" s="19"/>
      <c r="J200" s="19"/>
      <c r="K200" s="19"/>
      <c r="L200" s="19"/>
      <c r="M200" s="19"/>
      <c r="N200" s="14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s="2" customFormat="1" ht="12.75">
      <c r="A201" s="132" t="s">
        <v>4</v>
      </c>
      <c r="B201" s="65" t="s">
        <v>5</v>
      </c>
      <c r="C201" s="58">
        <f>10768000+1076000+534000+605731</f>
        <v>12983731</v>
      </c>
      <c r="D201" s="63">
        <f>983083.99+44022.5+57351.84+334239.51</f>
        <v>1418697.84</v>
      </c>
      <c r="E201" s="63">
        <f>12684316.54</f>
        <v>12684316.54</v>
      </c>
      <c r="F201" s="58">
        <f aca="true" t="shared" si="8" ref="F201:F224">SUM(C201-E201)</f>
        <v>299414.4600000009</v>
      </c>
      <c r="G201" s="127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13" s="2" customFormat="1" ht="12.75">
      <c r="A202" s="132" t="s">
        <v>6</v>
      </c>
      <c r="B202" s="65" t="s">
        <v>7</v>
      </c>
      <c r="C202" s="58">
        <v>449000</v>
      </c>
      <c r="D202" s="63">
        <v>28401</v>
      </c>
      <c r="E202" s="63">
        <v>449000</v>
      </c>
      <c r="F202" s="58">
        <f t="shared" si="8"/>
        <v>0</v>
      </c>
      <c r="G202" s="127"/>
      <c r="M202" s="13"/>
    </row>
    <row r="203" spans="1:36" s="7" customFormat="1" ht="10.5" customHeight="1">
      <c r="A203" s="132" t="s">
        <v>8</v>
      </c>
      <c r="B203" s="65" t="s">
        <v>9</v>
      </c>
      <c r="C203" s="58"/>
      <c r="D203" s="63"/>
      <c r="E203" s="63"/>
      <c r="F203" s="58">
        <f t="shared" si="8"/>
        <v>0</v>
      </c>
      <c r="G203" s="127"/>
      <c r="H203" s="21"/>
      <c r="I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5"/>
      <c r="AH203" s="15"/>
      <c r="AI203" s="15"/>
      <c r="AJ203" s="15"/>
    </row>
    <row r="204" spans="1:36" s="7" customFormat="1" ht="12.75" customHeight="1">
      <c r="A204" s="132" t="s">
        <v>143</v>
      </c>
      <c r="B204" s="65">
        <v>707</v>
      </c>
      <c r="C204" s="58"/>
      <c r="D204" s="63"/>
      <c r="E204" s="63"/>
      <c r="F204" s="58">
        <f t="shared" si="8"/>
        <v>0</v>
      </c>
      <c r="G204" s="127"/>
      <c r="H204" s="21"/>
      <c r="I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5"/>
      <c r="AH204" s="15"/>
      <c r="AI204" s="15"/>
      <c r="AJ204" s="15"/>
    </row>
    <row r="205" spans="1:13" ht="12.75">
      <c r="A205" s="133" t="s">
        <v>10</v>
      </c>
      <c r="B205" s="65" t="s">
        <v>11</v>
      </c>
      <c r="C205" s="58">
        <v>1152000</v>
      </c>
      <c r="D205" s="63">
        <v>95410.81</v>
      </c>
      <c r="E205" s="63">
        <v>1149327.17</v>
      </c>
      <c r="F205" s="58">
        <f t="shared" si="8"/>
        <v>2672.8300000000745</v>
      </c>
      <c r="G205" s="127"/>
      <c r="H205" s="62"/>
      <c r="I205" s="62"/>
      <c r="J205" s="62"/>
      <c r="K205" s="62"/>
      <c r="L205" s="62"/>
      <c r="M205" s="62"/>
    </row>
    <row r="206" spans="1:7" ht="12.75">
      <c r="A206" s="133" t="s">
        <v>12</v>
      </c>
      <c r="B206" s="65" t="s">
        <v>13</v>
      </c>
      <c r="C206" s="58"/>
      <c r="D206" s="63"/>
      <c r="E206" s="63"/>
      <c r="F206" s="58">
        <f t="shared" si="8"/>
        <v>0</v>
      </c>
      <c r="G206" s="127"/>
    </row>
    <row r="207" spans="1:7" ht="12.75">
      <c r="A207" s="133" t="s">
        <v>14</v>
      </c>
      <c r="B207" s="65" t="s">
        <v>15</v>
      </c>
      <c r="C207" s="58">
        <v>66000</v>
      </c>
      <c r="D207" s="63">
        <v>5500</v>
      </c>
      <c r="E207" s="63">
        <v>66000</v>
      </c>
      <c r="F207" s="58">
        <f t="shared" si="8"/>
        <v>0</v>
      </c>
      <c r="G207" s="127"/>
    </row>
    <row r="208" spans="1:7" ht="12.75">
      <c r="A208" s="133" t="s">
        <v>16</v>
      </c>
      <c r="B208" s="65" t="s">
        <v>17</v>
      </c>
      <c r="C208" s="58">
        <v>66000</v>
      </c>
      <c r="D208" s="63">
        <v>5500</v>
      </c>
      <c r="E208" s="63">
        <v>66000</v>
      </c>
      <c r="F208" s="58">
        <f t="shared" si="8"/>
        <v>0</v>
      </c>
      <c r="G208" s="127"/>
    </row>
    <row r="209" spans="1:7" ht="12.75">
      <c r="A209" s="133" t="s">
        <v>122</v>
      </c>
      <c r="B209" s="65">
        <v>723</v>
      </c>
      <c r="C209" s="58"/>
      <c r="D209" s="63"/>
      <c r="E209" s="63"/>
      <c r="F209" s="58">
        <f t="shared" si="8"/>
        <v>0</v>
      </c>
      <c r="G209" s="127"/>
    </row>
    <row r="210" spans="1:7" ht="12.75">
      <c r="A210" s="133" t="s">
        <v>18</v>
      </c>
      <c r="B210" s="65" t="s">
        <v>19</v>
      </c>
      <c r="C210" s="58">
        <f>192000+39000</f>
        <v>231000</v>
      </c>
      <c r="D210" s="63"/>
      <c r="E210" s="63">
        <v>231000</v>
      </c>
      <c r="F210" s="58">
        <f t="shared" si="8"/>
        <v>0</v>
      </c>
      <c r="G210" s="127"/>
    </row>
    <row r="211" spans="1:7" ht="12.75">
      <c r="A211" s="133" t="s">
        <v>22</v>
      </c>
      <c r="B211" s="65" t="s">
        <v>23</v>
      </c>
      <c r="C211" s="58">
        <f>1082000+90000+76000</f>
        <v>1248000</v>
      </c>
      <c r="D211" s="63"/>
      <c r="E211" s="63">
        <v>1088300.5</v>
      </c>
      <c r="F211" s="58">
        <f t="shared" si="8"/>
        <v>159699.5</v>
      </c>
      <c r="G211" s="127"/>
    </row>
    <row r="212" spans="1:7" ht="12" customHeight="1">
      <c r="A212" s="133" t="s">
        <v>24</v>
      </c>
      <c r="B212" s="65" t="s">
        <v>25</v>
      </c>
      <c r="C212" s="58">
        <v>56000</v>
      </c>
      <c r="D212" s="63"/>
      <c r="E212" s="63">
        <v>56000</v>
      </c>
      <c r="F212" s="58">
        <f t="shared" si="8"/>
        <v>0</v>
      </c>
      <c r="G212" s="127"/>
    </row>
    <row r="213" spans="1:7" ht="12.75">
      <c r="A213" s="133" t="s">
        <v>26</v>
      </c>
      <c r="B213" s="65" t="s">
        <v>27</v>
      </c>
      <c r="C213" s="58">
        <v>96000</v>
      </c>
      <c r="D213" s="63"/>
      <c r="E213" s="63">
        <v>92000</v>
      </c>
      <c r="F213" s="58">
        <f t="shared" si="8"/>
        <v>4000</v>
      </c>
      <c r="G213" s="127"/>
    </row>
    <row r="214" spans="1:7" ht="12.75" customHeight="1">
      <c r="A214" s="133" t="s">
        <v>28</v>
      </c>
      <c r="B214" s="65">
        <v>716</v>
      </c>
      <c r="C214" s="58">
        <v>13000</v>
      </c>
      <c r="D214" s="63">
        <v>1650</v>
      </c>
      <c r="E214" s="63">
        <v>13000</v>
      </c>
      <c r="F214" s="58">
        <f t="shared" si="8"/>
        <v>0</v>
      </c>
      <c r="G214" s="127"/>
    </row>
    <row r="215" spans="1:7" ht="12.75" customHeight="1">
      <c r="A215" s="133" t="s">
        <v>30</v>
      </c>
      <c r="B215" s="65" t="s">
        <v>31</v>
      </c>
      <c r="C215" s="58">
        <f>1293000+129000+64000+57831</f>
        <v>1543831</v>
      </c>
      <c r="D215" s="63">
        <v>120145.68</v>
      </c>
      <c r="E215" s="63">
        <v>1381730.04</v>
      </c>
      <c r="F215" s="58">
        <f t="shared" si="8"/>
        <v>162100.95999999996</v>
      </c>
      <c r="G215" s="127"/>
    </row>
    <row r="216" spans="1:7" ht="12.75" customHeight="1">
      <c r="A216" s="133" t="s">
        <v>32</v>
      </c>
      <c r="B216" s="65" t="s">
        <v>33</v>
      </c>
      <c r="C216" s="58">
        <v>58000</v>
      </c>
      <c r="D216" s="63">
        <v>4800</v>
      </c>
      <c r="E216" s="63">
        <v>57300</v>
      </c>
      <c r="F216" s="58">
        <f t="shared" si="8"/>
        <v>700</v>
      </c>
      <c r="G216" s="127"/>
    </row>
    <row r="217" spans="1:7" ht="12.75" customHeight="1">
      <c r="A217" s="133" t="s">
        <v>34</v>
      </c>
      <c r="B217" s="65" t="s">
        <v>35</v>
      </c>
      <c r="C217" s="58">
        <f>119000+7000+4000</f>
        <v>130000</v>
      </c>
      <c r="D217" s="63">
        <v>12000</v>
      </c>
      <c r="E217" s="63">
        <v>130000</v>
      </c>
      <c r="F217" s="58">
        <f t="shared" si="8"/>
        <v>0</v>
      </c>
      <c r="G217" s="127"/>
    </row>
    <row r="218" spans="1:7" ht="12.75" customHeight="1">
      <c r="A218" s="133" t="s">
        <v>36</v>
      </c>
      <c r="B218" s="65" t="s">
        <v>37</v>
      </c>
      <c r="C218" s="58">
        <f>57000+1000</f>
        <v>58000</v>
      </c>
      <c r="D218" s="63">
        <v>4763.73</v>
      </c>
      <c r="E218" s="63">
        <v>56569.75</v>
      </c>
      <c r="F218" s="58">
        <f t="shared" si="8"/>
        <v>1430.25</v>
      </c>
      <c r="G218" s="127"/>
    </row>
    <row r="219" spans="1:7" ht="12.75" customHeight="1">
      <c r="A219" s="133" t="s">
        <v>159</v>
      </c>
      <c r="B219" s="65">
        <v>749</v>
      </c>
      <c r="C219" s="58">
        <v>463195</v>
      </c>
      <c r="D219" s="63"/>
      <c r="E219" s="63">
        <v>463195</v>
      </c>
      <c r="F219" s="58">
        <f t="shared" si="8"/>
        <v>0</v>
      </c>
      <c r="G219" s="127"/>
    </row>
    <row r="220" spans="1:7" ht="12.75" customHeight="1">
      <c r="A220" s="133" t="s">
        <v>127</v>
      </c>
      <c r="B220" s="65">
        <v>749</v>
      </c>
      <c r="C220" s="58">
        <v>210000</v>
      </c>
      <c r="D220" s="63">
        <v>245000</v>
      </c>
      <c r="E220" s="63">
        <v>210000</v>
      </c>
      <c r="F220" s="58">
        <f t="shared" si="8"/>
        <v>0</v>
      </c>
      <c r="G220" s="127"/>
    </row>
    <row r="221" spans="1:7" ht="12.75" customHeight="1">
      <c r="A221" s="174" t="s">
        <v>132</v>
      </c>
      <c r="B221" s="108">
        <v>749</v>
      </c>
      <c r="C221" s="58"/>
      <c r="D221" s="63"/>
      <c r="E221" s="63"/>
      <c r="F221" s="58">
        <f t="shared" si="8"/>
        <v>0</v>
      </c>
      <c r="G221" s="127"/>
    </row>
    <row r="222" spans="1:7" ht="12.75" customHeight="1">
      <c r="A222" s="133" t="s">
        <v>41</v>
      </c>
      <c r="B222" s="65">
        <v>722</v>
      </c>
      <c r="C222" s="58">
        <v>27000</v>
      </c>
      <c r="D222" s="63">
        <v>10000</v>
      </c>
      <c r="E222" s="63">
        <v>27000</v>
      </c>
      <c r="F222" s="58">
        <f t="shared" si="8"/>
        <v>0</v>
      </c>
      <c r="G222" s="127"/>
    </row>
    <row r="223" spans="1:7" ht="12.75" customHeight="1">
      <c r="A223" s="133" t="s">
        <v>158</v>
      </c>
      <c r="B223" s="65">
        <v>749</v>
      </c>
      <c r="C223" s="58"/>
      <c r="D223" s="63"/>
      <c r="E223" s="63"/>
      <c r="F223" s="58">
        <f t="shared" si="8"/>
        <v>0</v>
      </c>
      <c r="G223" s="127"/>
    </row>
    <row r="224" spans="1:7" ht="12.75" customHeight="1" thickBot="1">
      <c r="A224" s="133" t="s">
        <v>119</v>
      </c>
      <c r="B224" s="65">
        <v>749</v>
      </c>
      <c r="C224" s="58"/>
      <c r="D224" s="63"/>
      <c r="E224" s="63"/>
      <c r="F224" s="58">
        <f t="shared" si="8"/>
        <v>0</v>
      </c>
      <c r="G224" s="127"/>
    </row>
    <row r="225" spans="1:7" ht="13.5" thickBot="1">
      <c r="A225" s="164" t="s">
        <v>80</v>
      </c>
      <c r="B225" s="75"/>
      <c r="C225" s="60">
        <f>SUM(C201:C224)</f>
        <v>18850757</v>
      </c>
      <c r="D225" s="60">
        <f>SUM(D201:D224)</f>
        <v>1951869.06</v>
      </c>
      <c r="E225" s="61">
        <f>SUM(E201:E224)</f>
        <v>18220739</v>
      </c>
      <c r="F225" s="61">
        <f>SUM(F201:F224)</f>
        <v>630018.0000000009</v>
      </c>
      <c r="G225" s="142"/>
    </row>
    <row r="226" spans="1:7" ht="12.75">
      <c r="A226" s="165"/>
      <c r="B226" s="71"/>
      <c r="C226" s="73"/>
      <c r="D226" s="73"/>
      <c r="E226" s="73"/>
      <c r="F226" s="73"/>
      <c r="G226" s="140"/>
    </row>
    <row r="227" spans="1:7" ht="17.25" customHeight="1">
      <c r="A227" s="158" t="s">
        <v>79</v>
      </c>
      <c r="B227" s="17"/>
      <c r="C227" s="63"/>
      <c r="D227" s="63"/>
      <c r="E227" s="63"/>
      <c r="F227" s="63"/>
      <c r="G227" s="127"/>
    </row>
    <row r="228" spans="1:7" ht="12.75" customHeight="1">
      <c r="A228" s="156" t="s">
        <v>44</v>
      </c>
      <c r="B228" s="72">
        <v>751</v>
      </c>
      <c r="C228" s="58">
        <v>124000</v>
      </c>
      <c r="D228" s="63">
        <v>89492</v>
      </c>
      <c r="E228" s="58">
        <v>124000</v>
      </c>
      <c r="F228" s="58">
        <f aca="true" t="shared" si="9" ref="F228:F237">SUM(C228-E228)</f>
        <v>0</v>
      </c>
      <c r="G228" s="127"/>
    </row>
    <row r="229" spans="1:7" ht="12.75" customHeight="1">
      <c r="A229" s="156" t="s">
        <v>110</v>
      </c>
      <c r="B229" s="72">
        <v>754</v>
      </c>
      <c r="C229" s="58"/>
      <c r="D229" s="63"/>
      <c r="E229" s="58"/>
      <c r="F229" s="58">
        <f t="shared" si="9"/>
        <v>0</v>
      </c>
      <c r="G229" s="127"/>
    </row>
    <row r="230" spans="1:7" ht="12.75" customHeight="1">
      <c r="A230" s="156" t="s">
        <v>45</v>
      </c>
      <c r="B230" s="72">
        <v>772</v>
      </c>
      <c r="C230" s="93">
        <v>64000</v>
      </c>
      <c r="D230" s="63"/>
      <c r="E230" s="93">
        <v>64000</v>
      </c>
      <c r="F230" s="58">
        <f t="shared" si="9"/>
        <v>0</v>
      </c>
      <c r="G230" s="127"/>
    </row>
    <row r="231" spans="1:7" ht="12.75" customHeight="1">
      <c r="A231" s="156" t="s">
        <v>62</v>
      </c>
      <c r="B231" s="72">
        <v>812</v>
      </c>
      <c r="C231" s="93">
        <v>237000</v>
      </c>
      <c r="D231" s="63"/>
      <c r="E231" s="93">
        <v>237000</v>
      </c>
      <c r="F231" s="58">
        <f t="shared" si="9"/>
        <v>0</v>
      </c>
      <c r="G231" s="127"/>
    </row>
    <row r="232" spans="1:7" ht="12.75">
      <c r="A232" s="156" t="s">
        <v>46</v>
      </c>
      <c r="B232" s="72">
        <v>784</v>
      </c>
      <c r="C232" s="93">
        <v>7000</v>
      </c>
      <c r="D232" s="63"/>
      <c r="E232" s="93">
        <v>7000</v>
      </c>
      <c r="F232" s="58">
        <f t="shared" si="9"/>
        <v>0</v>
      </c>
      <c r="G232" s="127"/>
    </row>
    <row r="233" spans="1:7" ht="12.75">
      <c r="A233" s="156" t="s">
        <v>47</v>
      </c>
      <c r="B233" s="72">
        <v>755</v>
      </c>
      <c r="C233" s="93">
        <v>392000</v>
      </c>
      <c r="D233" s="63">
        <v>221370.61</v>
      </c>
      <c r="E233" s="93">
        <v>392000</v>
      </c>
      <c r="F233" s="58">
        <f t="shared" si="9"/>
        <v>0</v>
      </c>
      <c r="G233" s="127"/>
    </row>
    <row r="234" spans="1:7" ht="12.75">
      <c r="A234" s="156" t="s">
        <v>59</v>
      </c>
      <c r="B234" s="72">
        <v>781</v>
      </c>
      <c r="C234" s="93">
        <v>50000</v>
      </c>
      <c r="D234" s="63">
        <v>14212.5</v>
      </c>
      <c r="E234" s="93">
        <v>50000</v>
      </c>
      <c r="F234" s="58">
        <f t="shared" si="9"/>
        <v>0</v>
      </c>
      <c r="G234" s="127"/>
    </row>
    <row r="235" spans="1:7" ht="15" customHeight="1">
      <c r="A235" s="156" t="s">
        <v>49</v>
      </c>
      <c r="B235" s="72">
        <v>767</v>
      </c>
      <c r="C235" s="93">
        <v>81000</v>
      </c>
      <c r="D235" s="63">
        <v>15566.48</v>
      </c>
      <c r="E235" s="93">
        <v>81000</v>
      </c>
      <c r="F235" s="58">
        <f t="shared" si="9"/>
        <v>0</v>
      </c>
      <c r="G235" s="127"/>
    </row>
    <row r="236" spans="1:7" ht="15" customHeight="1">
      <c r="A236" s="156" t="s">
        <v>50</v>
      </c>
      <c r="B236" s="72">
        <v>753</v>
      </c>
      <c r="C236" s="93">
        <v>45000</v>
      </c>
      <c r="D236" s="63"/>
      <c r="E236" s="93">
        <v>45000</v>
      </c>
      <c r="F236" s="58">
        <f t="shared" si="9"/>
        <v>0</v>
      </c>
      <c r="G236" s="127"/>
    </row>
    <row r="237" spans="1:7" ht="12.75" customHeight="1" thickBot="1">
      <c r="A237" s="156" t="s">
        <v>61</v>
      </c>
      <c r="B237" s="72">
        <v>969</v>
      </c>
      <c r="C237" s="93">
        <v>174000</v>
      </c>
      <c r="D237" s="66"/>
      <c r="E237" s="93">
        <v>174000</v>
      </c>
      <c r="F237" s="58">
        <f t="shared" si="9"/>
        <v>0</v>
      </c>
      <c r="G237" s="120"/>
    </row>
    <row r="238" spans="1:7" ht="21" customHeight="1" thickBot="1">
      <c r="A238" s="161" t="s">
        <v>80</v>
      </c>
      <c r="B238" s="69"/>
      <c r="C238" s="94">
        <f>SUM(C228:C237)</f>
        <v>1174000</v>
      </c>
      <c r="D238" s="94">
        <f>SUM(D228:D237)</f>
        <v>340641.58999999997</v>
      </c>
      <c r="E238" s="94">
        <f>SUM(E228:E237)</f>
        <v>1174000</v>
      </c>
      <c r="F238" s="94">
        <f>SUM(F228:F237)</f>
        <v>0</v>
      </c>
      <c r="G238" s="142"/>
    </row>
    <row r="239" spans="1:7" ht="13.5" customHeight="1">
      <c r="A239" s="139" t="s">
        <v>81</v>
      </c>
      <c r="B239" s="82"/>
      <c r="C239" s="73"/>
      <c r="D239" s="73"/>
      <c r="E239" s="73"/>
      <c r="F239" s="73"/>
      <c r="G239" s="140"/>
    </row>
    <row r="240" spans="1:7" ht="16.5" customHeight="1">
      <c r="A240" s="162"/>
      <c r="B240" s="83"/>
      <c r="C240" s="63"/>
      <c r="D240" s="63"/>
      <c r="E240" s="63"/>
      <c r="F240" s="63"/>
      <c r="G240" s="127"/>
    </row>
    <row r="241" spans="1:7" ht="13.5" thickBot="1">
      <c r="A241" s="133" t="s">
        <v>114</v>
      </c>
      <c r="B241" s="83"/>
      <c r="C241" s="63"/>
      <c r="D241" s="63"/>
      <c r="E241" s="63"/>
      <c r="F241" s="58">
        <f>SUM(C241-E241)</f>
        <v>0</v>
      </c>
      <c r="G241" s="127"/>
    </row>
    <row r="242" spans="1:7" ht="13.5" thickBot="1">
      <c r="A242" s="141" t="s">
        <v>85</v>
      </c>
      <c r="B242" s="92"/>
      <c r="C242" s="76">
        <f>SUM(C240:C241)</f>
        <v>0</v>
      </c>
      <c r="D242" s="76">
        <f>SUM(D240:D241)</f>
        <v>0</v>
      </c>
      <c r="E242" s="76">
        <f>SUM(E240:E241)</f>
        <v>0</v>
      </c>
      <c r="F242" s="76">
        <f>SUM(F240:F241)</f>
        <v>0</v>
      </c>
      <c r="G242" s="142"/>
    </row>
    <row r="243" spans="1:7" ht="13.5" thickBot="1">
      <c r="A243" s="141" t="s">
        <v>86</v>
      </c>
      <c r="B243" s="92"/>
      <c r="C243" s="91">
        <f>SUM(C242+C238+C225)</f>
        <v>20024757</v>
      </c>
      <c r="D243" s="91">
        <f>SUM(D242+D238+D225)</f>
        <v>2292510.65</v>
      </c>
      <c r="E243" s="91">
        <f>SUM(E242+E238+E225)</f>
        <v>19394739</v>
      </c>
      <c r="F243" s="91">
        <f>SUM(F242+F238+F225)</f>
        <v>630018.0000000009</v>
      </c>
      <c r="G243" s="166"/>
    </row>
    <row r="244" spans="1:7" ht="12.75">
      <c r="A244" s="169" t="s">
        <v>43</v>
      </c>
      <c r="B244" s="8"/>
      <c r="C244" s="15"/>
      <c r="D244" s="15"/>
      <c r="E244" s="15"/>
      <c r="F244" s="15"/>
      <c r="G244" s="178"/>
    </row>
    <row r="245" spans="1:7" ht="13.5" thickBot="1">
      <c r="A245" s="171" t="s">
        <v>101</v>
      </c>
      <c r="B245" s="16"/>
      <c r="C245" s="16"/>
      <c r="D245" s="16"/>
      <c r="E245" s="16"/>
      <c r="F245" s="16"/>
      <c r="G245" s="179"/>
    </row>
    <row r="246" spans="1:7" ht="12.75">
      <c r="A246" s="139" t="s">
        <v>0</v>
      </c>
      <c r="B246" s="65"/>
      <c r="C246" s="63"/>
      <c r="D246" s="63"/>
      <c r="E246" s="63"/>
      <c r="F246" s="63"/>
      <c r="G246" s="127"/>
    </row>
    <row r="247" spans="1:7" ht="12.75">
      <c r="A247" s="132" t="s">
        <v>4</v>
      </c>
      <c r="B247" s="65" t="s">
        <v>5</v>
      </c>
      <c r="C247" s="58">
        <f>14123000+1239000+690000+274987</f>
        <v>16326987</v>
      </c>
      <c r="D247" s="63">
        <f>1643363+5500+5500+4950+29583+95400+827667+66296+40000</f>
        <v>2718259</v>
      </c>
      <c r="E247" s="63">
        <v>16267182</v>
      </c>
      <c r="F247" s="58">
        <f aca="true" t="shared" si="10" ref="F247:F269">SUM(C247-E247)</f>
        <v>59805</v>
      </c>
      <c r="G247" s="127"/>
    </row>
    <row r="248" spans="1:7" ht="12.75">
      <c r="A248" s="132" t="s">
        <v>6</v>
      </c>
      <c r="B248" s="65" t="s">
        <v>7</v>
      </c>
      <c r="C248" s="58">
        <v>495000</v>
      </c>
      <c r="D248" s="63"/>
      <c r="E248" s="63">
        <v>495000</v>
      </c>
      <c r="F248" s="58">
        <f t="shared" si="10"/>
        <v>0</v>
      </c>
      <c r="G248" s="127"/>
    </row>
    <row r="249" spans="1:7" ht="15.75" customHeight="1">
      <c r="A249" s="132" t="s">
        <v>8</v>
      </c>
      <c r="B249" s="65" t="s">
        <v>9</v>
      </c>
      <c r="C249" s="58"/>
      <c r="D249" s="63"/>
      <c r="E249" s="63"/>
      <c r="F249" s="58">
        <f t="shared" si="10"/>
        <v>0</v>
      </c>
      <c r="G249" s="127"/>
    </row>
    <row r="250" spans="1:7" ht="15.75" customHeight="1">
      <c r="A250" s="133" t="s">
        <v>10</v>
      </c>
      <c r="B250" s="65" t="s">
        <v>11</v>
      </c>
      <c r="C250" s="58">
        <v>1608000</v>
      </c>
      <c r="D250" s="63">
        <v>120000</v>
      </c>
      <c r="E250" s="63">
        <v>1549006</v>
      </c>
      <c r="F250" s="58">
        <f t="shared" si="10"/>
        <v>58994</v>
      </c>
      <c r="G250" s="127"/>
    </row>
    <row r="251" spans="1:7" ht="12.75" customHeight="1">
      <c r="A251" s="133" t="s">
        <v>12</v>
      </c>
      <c r="B251" s="65" t="s">
        <v>13</v>
      </c>
      <c r="C251" s="58"/>
      <c r="D251" s="63"/>
      <c r="E251" s="63"/>
      <c r="F251" s="58">
        <f t="shared" si="10"/>
        <v>0</v>
      </c>
      <c r="G251" s="127"/>
    </row>
    <row r="252" spans="1:7" ht="15.75" customHeight="1">
      <c r="A252" s="133" t="s">
        <v>14</v>
      </c>
      <c r="B252" s="65" t="s">
        <v>15</v>
      </c>
      <c r="C252" s="58"/>
      <c r="D252" s="63"/>
      <c r="E252" s="63"/>
      <c r="F252" s="58">
        <f t="shared" si="10"/>
        <v>0</v>
      </c>
      <c r="G252" s="127"/>
    </row>
    <row r="253" spans="1:7" ht="16.5" customHeight="1">
      <c r="A253" s="133" t="s">
        <v>16</v>
      </c>
      <c r="B253" s="65" t="s">
        <v>17</v>
      </c>
      <c r="C253" s="58"/>
      <c r="D253" s="63"/>
      <c r="E253" s="63"/>
      <c r="F253" s="58">
        <f t="shared" si="10"/>
        <v>0</v>
      </c>
      <c r="G253" s="127"/>
    </row>
    <row r="254" spans="1:7" ht="15.75" customHeight="1">
      <c r="A254" s="133" t="s">
        <v>18</v>
      </c>
      <c r="B254" s="65" t="s">
        <v>19</v>
      </c>
      <c r="C254" s="58">
        <f>268000+63000</f>
        <v>331000</v>
      </c>
      <c r="D254" s="63"/>
      <c r="E254" s="63">
        <v>310000</v>
      </c>
      <c r="F254" s="58">
        <f t="shared" si="10"/>
        <v>21000</v>
      </c>
      <c r="G254" s="127"/>
    </row>
    <row r="255" spans="1:7" ht="15.75" customHeight="1">
      <c r="A255" s="133" t="s">
        <v>118</v>
      </c>
      <c r="B255" s="65">
        <v>721</v>
      </c>
      <c r="C255" s="58"/>
      <c r="D255" s="63"/>
      <c r="E255" s="63"/>
      <c r="F255" s="58">
        <f t="shared" si="10"/>
        <v>0</v>
      </c>
      <c r="G255" s="127"/>
    </row>
    <row r="256" spans="1:7" ht="14.25" customHeight="1">
      <c r="A256" s="133" t="s">
        <v>22</v>
      </c>
      <c r="B256" s="65" t="s">
        <v>23</v>
      </c>
      <c r="C256" s="58">
        <f>1236000+103000+99000</f>
        <v>1438000</v>
      </c>
      <c r="D256" s="63"/>
      <c r="E256" s="58">
        <f>1236000+103000+99000</f>
        <v>1438000</v>
      </c>
      <c r="F256" s="58">
        <f t="shared" si="10"/>
        <v>0</v>
      </c>
      <c r="G256" s="127"/>
    </row>
    <row r="257" spans="1:7" ht="15.75" customHeight="1">
      <c r="A257" s="133" t="s">
        <v>24</v>
      </c>
      <c r="B257" s="65" t="s">
        <v>25</v>
      </c>
      <c r="C257" s="58">
        <v>276000</v>
      </c>
      <c r="D257" s="63"/>
      <c r="E257" s="63">
        <v>276000</v>
      </c>
      <c r="F257" s="58">
        <f t="shared" si="10"/>
        <v>0</v>
      </c>
      <c r="G257" s="127"/>
    </row>
    <row r="258" spans="1:7" ht="15.75" customHeight="1">
      <c r="A258" s="133" t="s">
        <v>26</v>
      </c>
      <c r="B258" s="65" t="s">
        <v>27</v>
      </c>
      <c r="C258" s="58">
        <v>134000</v>
      </c>
      <c r="D258" s="63"/>
      <c r="E258" s="63">
        <v>124000</v>
      </c>
      <c r="F258" s="58">
        <f t="shared" si="10"/>
        <v>10000</v>
      </c>
      <c r="G258" s="127"/>
    </row>
    <row r="259" spans="1:7" ht="15.75" customHeight="1">
      <c r="A259" s="133" t="s">
        <v>28</v>
      </c>
      <c r="B259" s="65">
        <v>716</v>
      </c>
      <c r="C259" s="58">
        <v>13000</v>
      </c>
      <c r="D259" s="63"/>
      <c r="E259" s="63">
        <v>13000</v>
      </c>
      <c r="F259" s="58">
        <f t="shared" si="10"/>
        <v>0</v>
      </c>
      <c r="G259" s="127"/>
    </row>
    <row r="260" spans="1:7" ht="15.75" customHeight="1">
      <c r="A260" s="133" t="s">
        <v>30</v>
      </c>
      <c r="B260" s="65" t="s">
        <v>31</v>
      </c>
      <c r="C260" s="58">
        <f>1695000+149000+83000+25841</f>
        <v>1952841</v>
      </c>
      <c r="D260" s="63">
        <v>148561</v>
      </c>
      <c r="E260" s="63">
        <v>1757939</v>
      </c>
      <c r="F260" s="58">
        <f t="shared" si="10"/>
        <v>194902</v>
      </c>
      <c r="G260" s="127"/>
    </row>
    <row r="261" spans="1:7" ht="13.5" customHeight="1">
      <c r="A261" s="133" t="s">
        <v>32</v>
      </c>
      <c r="B261" s="65" t="s">
        <v>33</v>
      </c>
      <c r="C261" s="58">
        <v>81000</v>
      </c>
      <c r="D261" s="63">
        <v>6100</v>
      </c>
      <c r="E261" s="63">
        <v>73700</v>
      </c>
      <c r="F261" s="58">
        <f t="shared" si="10"/>
        <v>7300</v>
      </c>
      <c r="G261" s="127"/>
    </row>
    <row r="262" spans="1:7" ht="12.75">
      <c r="A262" s="133" t="s">
        <v>34</v>
      </c>
      <c r="B262" s="65" t="s">
        <v>35</v>
      </c>
      <c r="C262" s="58">
        <f>162000+10000+7000</f>
        <v>179000</v>
      </c>
      <c r="D262" s="63">
        <v>13825</v>
      </c>
      <c r="E262" s="63">
        <v>167800</v>
      </c>
      <c r="F262" s="58">
        <f t="shared" si="10"/>
        <v>11200</v>
      </c>
      <c r="G262" s="127"/>
    </row>
    <row r="263" spans="1:7" ht="12.75">
      <c r="A263" s="133" t="s">
        <v>36</v>
      </c>
      <c r="B263" s="65" t="s">
        <v>37</v>
      </c>
      <c r="C263" s="58">
        <f>79000+1000</f>
        <v>80000</v>
      </c>
      <c r="D263" s="63">
        <v>6078</v>
      </c>
      <c r="E263" s="63">
        <v>73312</v>
      </c>
      <c r="F263" s="58">
        <f t="shared" si="10"/>
        <v>6688</v>
      </c>
      <c r="G263" s="127"/>
    </row>
    <row r="264" spans="1:7" ht="12.75">
      <c r="A264" s="133" t="s">
        <v>124</v>
      </c>
      <c r="B264" s="65">
        <v>742</v>
      </c>
      <c r="C264" s="58"/>
      <c r="D264" s="63"/>
      <c r="E264" s="63"/>
      <c r="F264" s="58">
        <f t="shared" si="10"/>
        <v>0</v>
      </c>
      <c r="G264" s="127"/>
    </row>
    <row r="265" spans="1:7" ht="12.75">
      <c r="A265" s="133" t="s">
        <v>126</v>
      </c>
      <c r="B265" s="65">
        <v>749</v>
      </c>
      <c r="C265" s="58">
        <v>325000</v>
      </c>
      <c r="D265" s="63">
        <v>325000</v>
      </c>
      <c r="E265" s="63">
        <v>325000</v>
      </c>
      <c r="F265" s="58">
        <f t="shared" si="10"/>
        <v>0</v>
      </c>
      <c r="G265" s="127"/>
    </row>
    <row r="266" spans="1:7" ht="12.75">
      <c r="A266" s="174" t="s">
        <v>132</v>
      </c>
      <c r="B266" s="108">
        <v>749</v>
      </c>
      <c r="C266" s="58"/>
      <c r="D266" s="63"/>
      <c r="E266" s="63"/>
      <c r="F266" s="58">
        <f t="shared" si="10"/>
        <v>0</v>
      </c>
      <c r="G266" s="127"/>
    </row>
    <row r="267" spans="1:7" ht="12.75">
      <c r="A267" s="133" t="s">
        <v>119</v>
      </c>
      <c r="B267" s="65">
        <v>749</v>
      </c>
      <c r="C267" s="58"/>
      <c r="D267" s="63"/>
      <c r="E267" s="63"/>
      <c r="F267" s="58">
        <f t="shared" si="10"/>
        <v>0</v>
      </c>
      <c r="G267" s="127"/>
    </row>
    <row r="268" spans="1:7" ht="12.75">
      <c r="A268" s="133" t="s">
        <v>133</v>
      </c>
      <c r="B268" s="65">
        <v>749</v>
      </c>
      <c r="C268" s="58"/>
      <c r="D268" s="63"/>
      <c r="E268" s="63"/>
      <c r="F268" s="58">
        <f t="shared" si="10"/>
        <v>0</v>
      </c>
      <c r="G268" s="127"/>
    </row>
    <row r="269" spans="1:7" ht="13.5" thickBot="1">
      <c r="A269" s="133" t="s">
        <v>41</v>
      </c>
      <c r="B269" s="65" t="s">
        <v>42</v>
      </c>
      <c r="C269" s="58">
        <v>36000</v>
      </c>
      <c r="D269" s="63"/>
      <c r="E269" s="63">
        <v>36000</v>
      </c>
      <c r="F269" s="58">
        <f t="shared" si="10"/>
        <v>0</v>
      </c>
      <c r="G269" s="127"/>
    </row>
    <row r="270" spans="1:7" ht="13.5" thickBot="1">
      <c r="A270" s="164" t="s">
        <v>80</v>
      </c>
      <c r="B270" s="75"/>
      <c r="C270" s="60">
        <f>SUM(C247:C269)</f>
        <v>23275828</v>
      </c>
      <c r="D270" s="76">
        <f>SUM(D247:D269)</f>
        <v>3337823</v>
      </c>
      <c r="E270" s="61">
        <f>SUM(E247:E269)</f>
        <v>22905939</v>
      </c>
      <c r="F270" s="61">
        <f>SUM(F247:F269)</f>
        <v>369889</v>
      </c>
      <c r="G270" s="142"/>
    </row>
    <row r="271" spans="1:7" ht="12.75">
      <c r="A271" s="165"/>
      <c r="B271" s="71"/>
      <c r="C271" s="73"/>
      <c r="D271" s="73"/>
      <c r="E271" s="73"/>
      <c r="F271" s="73"/>
      <c r="G271" s="140"/>
    </row>
    <row r="272" spans="1:7" ht="12.75">
      <c r="A272" s="158" t="s">
        <v>79</v>
      </c>
      <c r="B272" s="17"/>
      <c r="C272" s="63"/>
      <c r="D272" s="63"/>
      <c r="E272" s="63"/>
      <c r="F272" s="63"/>
      <c r="G272" s="127"/>
    </row>
    <row r="273" spans="1:7" ht="12.75">
      <c r="A273" s="156" t="s">
        <v>44</v>
      </c>
      <c r="B273" s="72">
        <v>751</v>
      </c>
      <c r="C273" s="58">
        <v>110000</v>
      </c>
      <c r="D273" s="63"/>
      <c r="E273" s="63">
        <v>110000</v>
      </c>
      <c r="F273" s="58">
        <f aca="true" t="shared" si="11" ref="F273:F281">SUM(C273-E273)</f>
        <v>0</v>
      </c>
      <c r="G273" s="127"/>
    </row>
    <row r="274" spans="1:7" ht="12.75">
      <c r="A274" s="156" t="s">
        <v>45</v>
      </c>
      <c r="B274" s="72">
        <v>772</v>
      </c>
      <c r="C274" s="93">
        <v>55000</v>
      </c>
      <c r="D274" s="63"/>
      <c r="E274" s="63">
        <v>55000</v>
      </c>
      <c r="F274" s="58">
        <f t="shared" si="11"/>
        <v>0</v>
      </c>
      <c r="G274" s="127"/>
    </row>
    <row r="275" spans="1:7" ht="12.75">
      <c r="A275" s="156" t="s">
        <v>154</v>
      </c>
      <c r="B275" s="72">
        <v>812</v>
      </c>
      <c r="C275" s="93">
        <v>117000</v>
      </c>
      <c r="D275" s="63"/>
      <c r="E275" s="63">
        <v>117000</v>
      </c>
      <c r="F275" s="58">
        <f t="shared" si="11"/>
        <v>0</v>
      </c>
      <c r="G275" s="127"/>
    </row>
    <row r="276" spans="1:7" ht="12.75">
      <c r="A276" s="156" t="s">
        <v>47</v>
      </c>
      <c r="B276" s="72">
        <v>755</v>
      </c>
      <c r="C276" s="93">
        <v>223000</v>
      </c>
      <c r="D276" s="63"/>
      <c r="E276" s="63">
        <v>223000</v>
      </c>
      <c r="F276" s="58">
        <f t="shared" si="11"/>
        <v>0</v>
      </c>
      <c r="G276" s="127"/>
    </row>
    <row r="277" spans="1:7" ht="12.75">
      <c r="A277" s="156" t="s">
        <v>59</v>
      </c>
      <c r="B277" s="72">
        <v>781</v>
      </c>
      <c r="C277" s="93">
        <v>50000</v>
      </c>
      <c r="D277" s="63"/>
      <c r="E277" s="63">
        <v>45569</v>
      </c>
      <c r="F277" s="58">
        <f t="shared" si="11"/>
        <v>4431</v>
      </c>
      <c r="G277" s="127"/>
    </row>
    <row r="278" spans="1:7" ht="12.75">
      <c r="A278" s="156" t="s">
        <v>49</v>
      </c>
      <c r="B278" s="72">
        <v>767</v>
      </c>
      <c r="C278" s="93">
        <v>47000</v>
      </c>
      <c r="D278" s="63"/>
      <c r="E278" s="63">
        <v>47000</v>
      </c>
      <c r="F278" s="58">
        <f t="shared" si="11"/>
        <v>0</v>
      </c>
      <c r="G278" s="127"/>
    </row>
    <row r="279" spans="1:7" ht="12.75">
      <c r="A279" s="156" t="s">
        <v>152</v>
      </c>
      <c r="B279" s="72">
        <v>780</v>
      </c>
      <c r="C279" s="93"/>
      <c r="D279" s="63"/>
      <c r="E279" s="63"/>
      <c r="F279" s="58">
        <f t="shared" si="11"/>
        <v>0</v>
      </c>
      <c r="G279" s="127"/>
    </row>
    <row r="280" spans="1:7" ht="12.75">
      <c r="A280" s="156" t="s">
        <v>50</v>
      </c>
      <c r="B280" s="72">
        <v>753</v>
      </c>
      <c r="C280" s="93">
        <v>40000</v>
      </c>
      <c r="D280" s="63"/>
      <c r="E280" s="63">
        <v>40000</v>
      </c>
      <c r="F280" s="58">
        <f t="shared" si="11"/>
        <v>0</v>
      </c>
      <c r="G280" s="127"/>
    </row>
    <row r="281" spans="1:7" ht="13.5" thickBot="1">
      <c r="A281" s="156" t="s">
        <v>61</v>
      </c>
      <c r="B281" s="72">
        <v>969</v>
      </c>
      <c r="C281" s="93">
        <v>135000</v>
      </c>
      <c r="D281" s="66">
        <v>11480</v>
      </c>
      <c r="E281" s="66">
        <v>135000</v>
      </c>
      <c r="F281" s="58">
        <f t="shared" si="11"/>
        <v>0</v>
      </c>
      <c r="G281" s="120"/>
    </row>
    <row r="282" spans="1:7" ht="13.5" thickBot="1">
      <c r="A282" s="161" t="s">
        <v>80</v>
      </c>
      <c r="B282" s="69"/>
      <c r="C282" s="94">
        <f>SUM(C273:C281)</f>
        <v>777000</v>
      </c>
      <c r="D282" s="94">
        <f>SUM(D273:D281)</f>
        <v>11480</v>
      </c>
      <c r="E282" s="94">
        <f>SUM(E273:E281)</f>
        <v>772569</v>
      </c>
      <c r="F282" s="94">
        <f>SUM(F273:F281)</f>
        <v>4431</v>
      </c>
      <c r="G282" s="142"/>
    </row>
    <row r="283" spans="1:7" ht="12.75">
      <c r="A283" s="139" t="s">
        <v>81</v>
      </c>
      <c r="B283" s="82"/>
      <c r="C283" s="73"/>
      <c r="D283" s="73"/>
      <c r="E283" s="73"/>
      <c r="F283" s="73"/>
      <c r="G283" s="140"/>
    </row>
    <row r="284" spans="1:7" ht="16.5" customHeight="1">
      <c r="A284" s="162" t="s">
        <v>82</v>
      </c>
      <c r="B284" s="83"/>
      <c r="C284" s="63"/>
      <c r="D284" s="63"/>
      <c r="E284" s="63"/>
      <c r="F284" s="63"/>
      <c r="G284" s="127"/>
    </row>
    <row r="285" spans="1:7" ht="13.5" thickBot="1">
      <c r="A285" s="133" t="s">
        <v>107</v>
      </c>
      <c r="B285" s="83"/>
      <c r="C285" s="63"/>
      <c r="D285" s="63"/>
      <c r="E285" s="63"/>
      <c r="F285" s="58">
        <f>SUM(C285-E285)</f>
        <v>0</v>
      </c>
      <c r="G285" s="127"/>
    </row>
    <row r="286" spans="1:7" ht="13.5" thickBot="1">
      <c r="A286" s="141" t="s">
        <v>85</v>
      </c>
      <c r="B286" s="92"/>
      <c r="C286" s="76">
        <f>SUM(C284:C285)</f>
        <v>0</v>
      </c>
      <c r="D286" s="76">
        <f>SUM(D284:D285)</f>
        <v>0</v>
      </c>
      <c r="E286" s="76">
        <f>SUM(E284:E285)</f>
        <v>0</v>
      </c>
      <c r="F286" s="76">
        <f>SUM(F284:F285)</f>
        <v>0</v>
      </c>
      <c r="G286" s="142"/>
    </row>
    <row r="287" spans="1:7" ht="13.5" thickBot="1">
      <c r="A287" s="141" t="s">
        <v>86</v>
      </c>
      <c r="B287" s="92"/>
      <c r="C287" s="91">
        <f>SUM(C286+C282+C270)</f>
        <v>24052828</v>
      </c>
      <c r="D287" s="91">
        <f>SUM(D286+D282+D270)</f>
        <v>3349303</v>
      </c>
      <c r="E287" s="91">
        <f>SUM(E286+E282+E270)</f>
        <v>23678508</v>
      </c>
      <c r="F287" s="91">
        <f>SUM(F286+F282+F270)</f>
        <v>374320</v>
      </c>
      <c r="G287" s="166"/>
    </row>
    <row r="288" spans="1:7" ht="12.75">
      <c r="A288" s="104" t="s">
        <v>43</v>
      </c>
      <c r="B288" s="8"/>
      <c r="C288" s="15"/>
      <c r="D288" s="15"/>
      <c r="E288" s="15"/>
      <c r="F288" s="15"/>
      <c r="G288" s="178"/>
    </row>
    <row r="289" spans="1:7" ht="12.75">
      <c r="A289" s="104" t="s">
        <v>102</v>
      </c>
      <c r="B289" s="16"/>
      <c r="C289" s="16"/>
      <c r="D289" s="16"/>
      <c r="E289" s="16"/>
      <c r="F289" s="16"/>
      <c r="G289" s="179"/>
    </row>
    <row r="290" spans="1:7" ht="12.75">
      <c r="A290" s="133" t="s">
        <v>0</v>
      </c>
      <c r="B290" s="65"/>
      <c r="C290" s="63"/>
      <c r="D290" s="63"/>
      <c r="E290" s="63"/>
      <c r="F290" s="63"/>
      <c r="G290" s="127"/>
    </row>
    <row r="291" spans="1:7" ht="12.75">
      <c r="A291" s="132" t="s">
        <v>4</v>
      </c>
      <c r="B291" s="65" t="s">
        <v>5</v>
      </c>
      <c r="C291" s="58">
        <f>22986000+2785000+1507000+956242</f>
        <v>28234242</v>
      </c>
      <c r="D291" s="63">
        <f>2230473.14+1291012.5</f>
        <v>3521485.64</v>
      </c>
      <c r="E291" s="58">
        <f>22986000+2785000+1507000+956242</f>
        <v>28234242</v>
      </c>
      <c r="F291" s="58">
        <f aca="true" t="shared" si="12" ref="F291:F309">SUM(C291-E291)</f>
        <v>0</v>
      </c>
      <c r="G291" s="127"/>
    </row>
    <row r="292" spans="1:7" ht="12.75">
      <c r="A292" s="132" t="s">
        <v>153</v>
      </c>
      <c r="B292" s="65">
        <v>706</v>
      </c>
      <c r="C292" s="58"/>
      <c r="D292" s="63"/>
      <c r="E292" s="58"/>
      <c r="F292" s="58">
        <f t="shared" si="12"/>
        <v>0</v>
      </c>
      <c r="G292" s="127"/>
    </row>
    <row r="293" spans="1:7" ht="12.75">
      <c r="A293" s="133" t="s">
        <v>10</v>
      </c>
      <c r="B293" s="65" t="s">
        <v>11</v>
      </c>
      <c r="C293" s="58">
        <v>2520000</v>
      </c>
      <c r="D293" s="63">
        <v>201419.05</v>
      </c>
      <c r="E293" s="58">
        <v>2520000</v>
      </c>
      <c r="F293" s="58">
        <f t="shared" si="12"/>
        <v>0</v>
      </c>
      <c r="G293" s="127"/>
    </row>
    <row r="294" spans="1:7" ht="12.75">
      <c r="A294" s="133" t="s">
        <v>12</v>
      </c>
      <c r="B294" s="65" t="s">
        <v>13</v>
      </c>
      <c r="C294" s="58"/>
      <c r="D294" s="63"/>
      <c r="E294" s="58"/>
      <c r="F294" s="58">
        <f t="shared" si="12"/>
        <v>0</v>
      </c>
      <c r="G294" s="127"/>
    </row>
    <row r="295" spans="1:7" ht="12.75">
      <c r="A295" s="133" t="s">
        <v>18</v>
      </c>
      <c r="B295" s="65" t="s">
        <v>19</v>
      </c>
      <c r="C295" s="58">
        <f>420000+104000</f>
        <v>524000</v>
      </c>
      <c r="D295" s="63"/>
      <c r="E295" s="58">
        <f>420000+104000</f>
        <v>524000</v>
      </c>
      <c r="F295" s="58">
        <f t="shared" si="12"/>
        <v>0</v>
      </c>
      <c r="G295" s="127"/>
    </row>
    <row r="296" spans="1:7" ht="12.75">
      <c r="A296" s="133" t="s">
        <v>108</v>
      </c>
      <c r="B296" s="65">
        <v>723</v>
      </c>
      <c r="C296" s="58"/>
      <c r="D296" s="63"/>
      <c r="E296" s="58"/>
      <c r="F296" s="58">
        <f t="shared" si="12"/>
        <v>0</v>
      </c>
      <c r="G296" s="127"/>
    </row>
    <row r="297" spans="1:7" ht="12.75">
      <c r="A297" s="133" t="s">
        <v>20</v>
      </c>
      <c r="B297" s="65" t="s">
        <v>21</v>
      </c>
      <c r="C297" s="58">
        <v>1196000</v>
      </c>
      <c r="D297" s="63"/>
      <c r="E297" s="58">
        <v>1196000</v>
      </c>
      <c r="F297" s="58">
        <f t="shared" si="12"/>
        <v>0</v>
      </c>
      <c r="G297" s="127"/>
    </row>
    <row r="298" spans="1:7" ht="12.75">
      <c r="A298" s="133" t="s">
        <v>22</v>
      </c>
      <c r="B298" s="65" t="s">
        <v>23</v>
      </c>
      <c r="C298" s="58">
        <f>1896000+232000+215000</f>
        <v>2343000</v>
      </c>
      <c r="D298" s="63"/>
      <c r="E298" s="58">
        <f>1896000+232000+215000</f>
        <v>2343000</v>
      </c>
      <c r="F298" s="58">
        <f t="shared" si="12"/>
        <v>0</v>
      </c>
      <c r="G298" s="127"/>
    </row>
    <row r="299" spans="1:7" ht="12.75">
      <c r="A299" s="133" t="s">
        <v>24</v>
      </c>
      <c r="B299" s="65" t="s">
        <v>25</v>
      </c>
      <c r="C299" s="58">
        <v>545000</v>
      </c>
      <c r="D299" s="63"/>
      <c r="E299" s="58">
        <v>545000</v>
      </c>
      <c r="F299" s="58">
        <f t="shared" si="12"/>
        <v>0</v>
      </c>
      <c r="G299" s="127"/>
    </row>
    <row r="300" spans="1:7" ht="12.75">
      <c r="A300" s="133" t="s">
        <v>26</v>
      </c>
      <c r="B300" s="65" t="s">
        <v>27</v>
      </c>
      <c r="C300" s="58">
        <v>210000</v>
      </c>
      <c r="D300" s="63"/>
      <c r="E300" s="58">
        <v>210000</v>
      </c>
      <c r="F300" s="58">
        <f t="shared" si="12"/>
        <v>0</v>
      </c>
      <c r="G300" s="127"/>
    </row>
    <row r="301" spans="1:7" ht="12.75">
      <c r="A301" s="133" t="s">
        <v>30</v>
      </c>
      <c r="B301" s="65" t="s">
        <v>31</v>
      </c>
      <c r="C301" s="58">
        <f>2759000+334000+181000+92171</f>
        <v>3366171</v>
      </c>
      <c r="D301" s="63"/>
      <c r="E301" s="58">
        <v>3225000</v>
      </c>
      <c r="F301" s="58">
        <f t="shared" si="12"/>
        <v>141171</v>
      </c>
      <c r="G301" s="127"/>
    </row>
    <row r="302" spans="1:7" ht="12.75">
      <c r="A302" s="133" t="s">
        <v>32</v>
      </c>
      <c r="B302" s="65" t="s">
        <v>33</v>
      </c>
      <c r="C302" s="58">
        <v>126000</v>
      </c>
      <c r="D302" s="63"/>
      <c r="E302" s="58">
        <v>126000</v>
      </c>
      <c r="F302" s="58">
        <f t="shared" si="12"/>
        <v>0</v>
      </c>
      <c r="G302" s="127"/>
    </row>
    <row r="303" spans="1:7" ht="12.75">
      <c r="A303" s="133" t="s">
        <v>34</v>
      </c>
      <c r="B303" s="65" t="s">
        <v>35</v>
      </c>
      <c r="C303" s="58">
        <f>220000+9000+7000</f>
        <v>236000</v>
      </c>
      <c r="D303" s="63"/>
      <c r="E303" s="58">
        <f>220000+9000+7000</f>
        <v>236000</v>
      </c>
      <c r="F303" s="58">
        <f t="shared" si="12"/>
        <v>0</v>
      </c>
      <c r="G303" s="127"/>
    </row>
    <row r="304" spans="1:7" ht="12.75">
      <c r="A304" s="133" t="s">
        <v>36</v>
      </c>
      <c r="B304" s="65" t="s">
        <v>37</v>
      </c>
      <c r="C304" s="58">
        <f>124000+1000</f>
        <v>125000</v>
      </c>
      <c r="D304" s="63"/>
      <c r="E304" s="58">
        <f>124000+1000</f>
        <v>125000</v>
      </c>
      <c r="F304" s="58">
        <f t="shared" si="12"/>
        <v>0</v>
      </c>
      <c r="G304" s="127"/>
    </row>
    <row r="305" spans="1:7" ht="12.75">
      <c r="A305" s="133" t="s">
        <v>119</v>
      </c>
      <c r="B305" s="65">
        <v>749</v>
      </c>
      <c r="C305" s="63"/>
      <c r="D305" s="109"/>
      <c r="E305" s="63"/>
      <c r="F305" s="58">
        <f t="shared" si="12"/>
        <v>0</v>
      </c>
      <c r="G305" s="127"/>
    </row>
    <row r="306" spans="1:7" ht="12.75">
      <c r="A306" s="133" t="s">
        <v>161</v>
      </c>
      <c r="B306" s="65">
        <v>749</v>
      </c>
      <c r="C306" s="63">
        <v>525000</v>
      </c>
      <c r="D306" s="109">
        <v>500000</v>
      </c>
      <c r="E306" s="63">
        <v>525000</v>
      </c>
      <c r="F306" s="58">
        <f t="shared" si="12"/>
        <v>0</v>
      </c>
      <c r="G306" s="127"/>
    </row>
    <row r="307" spans="1:7" ht="12.75">
      <c r="A307" s="133" t="s">
        <v>132</v>
      </c>
      <c r="B307" s="65">
        <v>749</v>
      </c>
      <c r="C307" s="63"/>
      <c r="D307" s="109"/>
      <c r="E307" s="63"/>
      <c r="F307" s="58">
        <f t="shared" si="12"/>
        <v>0</v>
      </c>
      <c r="G307" s="127"/>
    </row>
    <row r="308" spans="1:7" ht="12.75">
      <c r="A308" s="133" t="s">
        <v>158</v>
      </c>
      <c r="B308" s="65">
        <v>749</v>
      </c>
      <c r="C308" s="63"/>
      <c r="D308" s="109"/>
      <c r="E308" s="63"/>
      <c r="F308" s="58">
        <f t="shared" si="12"/>
        <v>0</v>
      </c>
      <c r="G308" s="127"/>
    </row>
    <row r="309" spans="1:7" ht="13.5" thickBot="1">
      <c r="A309" s="133" t="s">
        <v>41</v>
      </c>
      <c r="B309" s="65" t="s">
        <v>42</v>
      </c>
      <c r="C309" s="118">
        <v>58000</v>
      </c>
      <c r="D309" s="66"/>
      <c r="E309" s="118">
        <v>58000</v>
      </c>
      <c r="F309" s="58">
        <f t="shared" si="12"/>
        <v>0</v>
      </c>
      <c r="G309" s="127"/>
    </row>
    <row r="310" spans="1:7" ht="13.5" thickBot="1">
      <c r="A310" s="164" t="s">
        <v>80</v>
      </c>
      <c r="B310" s="75"/>
      <c r="C310" s="112">
        <f>SUM(C291:C309)</f>
        <v>40008413</v>
      </c>
      <c r="D310" s="112">
        <f>SUM(D291:D309)</f>
        <v>4222904.6899999995</v>
      </c>
      <c r="E310" s="112">
        <f>SUM(E291:E309)</f>
        <v>39867242</v>
      </c>
      <c r="F310" s="60">
        <f>SUM(F291:F309)</f>
        <v>141171</v>
      </c>
      <c r="G310" s="142"/>
    </row>
    <row r="311" spans="1:7" ht="12.75">
      <c r="A311" s="165"/>
      <c r="B311" s="71"/>
      <c r="C311" s="73"/>
      <c r="D311" s="73"/>
      <c r="E311" s="73"/>
      <c r="F311" s="73"/>
      <c r="G311" s="140"/>
    </row>
    <row r="312" spans="1:7" ht="13.5" customHeight="1">
      <c r="A312" s="158" t="s">
        <v>79</v>
      </c>
      <c r="B312" s="17"/>
      <c r="C312" s="63"/>
      <c r="D312" s="63"/>
      <c r="E312" s="63"/>
      <c r="F312" s="63"/>
      <c r="G312" s="127"/>
    </row>
    <row r="313" spans="1:7" ht="12.75">
      <c r="A313" s="156" t="s">
        <v>44</v>
      </c>
      <c r="B313" s="72">
        <v>751</v>
      </c>
      <c r="C313" s="58">
        <v>200000</v>
      </c>
      <c r="D313" s="63">
        <v>2230</v>
      </c>
      <c r="E313" s="58">
        <v>200000</v>
      </c>
      <c r="F313" s="58">
        <f aca="true" t="shared" si="13" ref="F313:F322">SUM(C313-E313)</f>
        <v>0</v>
      </c>
      <c r="G313" s="127"/>
    </row>
    <row r="314" spans="1:7" ht="12.75">
      <c r="A314" s="156" t="s">
        <v>45</v>
      </c>
      <c r="B314" s="72">
        <v>772</v>
      </c>
      <c r="C314" s="93">
        <v>50000</v>
      </c>
      <c r="D314" s="63"/>
      <c r="E314" s="93">
        <v>50000</v>
      </c>
      <c r="F314" s="58">
        <f t="shared" si="13"/>
        <v>0</v>
      </c>
      <c r="G314" s="127"/>
    </row>
    <row r="315" spans="1:7" ht="12.75">
      <c r="A315" s="156" t="s">
        <v>62</v>
      </c>
      <c r="B315" s="72">
        <v>812</v>
      </c>
      <c r="C315" s="93">
        <v>73000</v>
      </c>
      <c r="D315" s="63"/>
      <c r="E315" s="93">
        <v>73000</v>
      </c>
      <c r="F315" s="58">
        <f t="shared" si="13"/>
        <v>0</v>
      </c>
      <c r="G315" s="127"/>
    </row>
    <row r="316" spans="1:7" ht="12.75">
      <c r="A316" s="156" t="s">
        <v>47</v>
      </c>
      <c r="B316" s="72">
        <v>755</v>
      </c>
      <c r="C316" s="93">
        <v>2101000</v>
      </c>
      <c r="D316" s="63"/>
      <c r="E316" s="93">
        <v>2101000</v>
      </c>
      <c r="F316" s="58">
        <f t="shared" si="13"/>
        <v>0</v>
      </c>
      <c r="G316" s="127"/>
    </row>
    <row r="317" spans="1:7" ht="12.75">
      <c r="A317" s="156" t="s">
        <v>123</v>
      </c>
      <c r="B317" s="72">
        <v>767</v>
      </c>
      <c r="C317" s="93"/>
      <c r="D317" s="63"/>
      <c r="E317" s="93"/>
      <c r="F317" s="58">
        <f t="shared" si="13"/>
        <v>0</v>
      </c>
      <c r="G317" s="127"/>
    </row>
    <row r="318" spans="1:7" ht="12.75">
      <c r="A318" s="156" t="s">
        <v>140</v>
      </c>
      <c r="B318" s="72">
        <v>780</v>
      </c>
      <c r="C318" s="93"/>
      <c r="D318" s="63"/>
      <c r="E318" s="93"/>
      <c r="F318" s="58">
        <f t="shared" si="13"/>
        <v>0</v>
      </c>
      <c r="G318" s="127"/>
    </row>
    <row r="319" spans="1:7" ht="12.75">
      <c r="A319" s="156" t="s">
        <v>59</v>
      </c>
      <c r="B319" s="72">
        <v>781</v>
      </c>
      <c r="C319" s="93">
        <v>100000</v>
      </c>
      <c r="D319" s="63"/>
      <c r="E319" s="93">
        <v>100000</v>
      </c>
      <c r="F319" s="58">
        <f t="shared" si="13"/>
        <v>0</v>
      </c>
      <c r="G319" s="127"/>
    </row>
    <row r="320" spans="1:7" ht="12.75">
      <c r="A320" s="156" t="s">
        <v>60</v>
      </c>
      <c r="B320" s="72">
        <v>778</v>
      </c>
      <c r="C320" s="93">
        <v>335000</v>
      </c>
      <c r="D320" s="63"/>
      <c r="E320" s="93">
        <v>335000</v>
      </c>
      <c r="F320" s="58">
        <f t="shared" si="13"/>
        <v>0</v>
      </c>
      <c r="G320" s="127"/>
    </row>
    <row r="321" spans="1:7" ht="12.75">
      <c r="A321" s="156" t="s">
        <v>50</v>
      </c>
      <c r="B321" s="72">
        <v>753</v>
      </c>
      <c r="C321" s="93">
        <v>760000</v>
      </c>
      <c r="D321" s="63"/>
      <c r="E321" s="93">
        <v>760000</v>
      </c>
      <c r="F321" s="58">
        <f t="shared" si="13"/>
        <v>0</v>
      </c>
      <c r="G321" s="127"/>
    </row>
    <row r="322" spans="1:7" ht="13.5" thickBot="1">
      <c r="A322" s="156" t="s">
        <v>61</v>
      </c>
      <c r="B322" s="72">
        <v>969</v>
      </c>
      <c r="C322" s="93">
        <v>332000</v>
      </c>
      <c r="D322" s="66">
        <v>14674</v>
      </c>
      <c r="E322" s="93">
        <v>332000</v>
      </c>
      <c r="F322" s="58">
        <f t="shared" si="13"/>
        <v>0</v>
      </c>
      <c r="G322" s="120"/>
    </row>
    <row r="323" spans="1:7" ht="13.5" thickBot="1">
      <c r="A323" s="161" t="s">
        <v>80</v>
      </c>
      <c r="B323" s="69"/>
      <c r="C323" s="55">
        <f>SUM(C313:C322)</f>
        <v>3951000</v>
      </c>
      <c r="D323" s="55">
        <f>SUM(D313:D322)</f>
        <v>16904</v>
      </c>
      <c r="E323" s="55">
        <f>SUM(E313:E322)</f>
        <v>3951000</v>
      </c>
      <c r="F323" s="55">
        <f>SUM(F313:F322)</f>
        <v>0</v>
      </c>
      <c r="G323" s="142"/>
    </row>
    <row r="324" spans="1:7" ht="12.75">
      <c r="A324" s="139" t="s">
        <v>81</v>
      </c>
      <c r="B324" s="82"/>
      <c r="C324" s="73"/>
      <c r="D324" s="73"/>
      <c r="E324" s="73"/>
      <c r="F324" s="73"/>
      <c r="G324" s="140"/>
    </row>
    <row r="325" spans="1:7" ht="12.75">
      <c r="A325" s="162" t="s">
        <v>82</v>
      </c>
      <c r="B325" s="83"/>
      <c r="C325" s="63"/>
      <c r="D325" s="63"/>
      <c r="E325" s="63"/>
      <c r="F325" s="63"/>
      <c r="G325" s="127"/>
    </row>
    <row r="326" spans="1:7" ht="12.75">
      <c r="A326" s="133" t="s">
        <v>83</v>
      </c>
      <c r="B326" s="83"/>
      <c r="C326" s="63"/>
      <c r="D326" s="63"/>
      <c r="E326" s="63"/>
      <c r="F326" s="63"/>
      <c r="G326" s="127"/>
    </row>
    <row r="327" spans="1:7" ht="13.5" thickBot="1">
      <c r="A327" s="134" t="s">
        <v>84</v>
      </c>
      <c r="B327" s="95"/>
      <c r="C327" s="66"/>
      <c r="D327" s="66"/>
      <c r="E327" s="66"/>
      <c r="F327" s="66"/>
      <c r="G327" s="120"/>
    </row>
    <row r="328" spans="1:7" ht="13.5" thickBot="1">
      <c r="A328" s="141" t="s">
        <v>85</v>
      </c>
      <c r="B328" s="92"/>
      <c r="C328" s="76">
        <f>SUM(C325:C327)</f>
        <v>0</v>
      </c>
      <c r="D328" s="76"/>
      <c r="E328" s="76"/>
      <c r="F328" s="76"/>
      <c r="G328" s="142"/>
    </row>
    <row r="329" spans="1:7" ht="14.25" customHeight="1" thickBot="1">
      <c r="A329" s="141" t="s">
        <v>86</v>
      </c>
      <c r="B329" s="92"/>
      <c r="C329" s="91">
        <f>SUM(C328+C323+C310)</f>
        <v>43959413</v>
      </c>
      <c r="D329" s="91">
        <f>SUM(D328+D323+D310)</f>
        <v>4239808.6899999995</v>
      </c>
      <c r="E329" s="91">
        <f>SUM(E328+E323+E310)</f>
        <v>43818242</v>
      </c>
      <c r="F329" s="91">
        <f>SUM(F328+F323+F310)</f>
        <v>141171</v>
      </c>
      <c r="G329" s="166"/>
    </row>
    <row r="330" spans="1:7" ht="12.75">
      <c r="A330" s="104" t="s">
        <v>103</v>
      </c>
      <c r="B330" s="101"/>
      <c r="C330" s="16"/>
      <c r="D330" s="16"/>
      <c r="E330" s="16"/>
      <c r="F330" s="16"/>
      <c r="G330" s="179"/>
    </row>
    <row r="331" spans="1:7" ht="12.75">
      <c r="A331" s="133" t="s">
        <v>0</v>
      </c>
      <c r="B331" s="16"/>
      <c r="C331" s="100"/>
      <c r="D331" s="100"/>
      <c r="E331" s="100"/>
      <c r="F331" s="100"/>
      <c r="G331" s="180"/>
    </row>
    <row r="332" spans="1:7" ht="12.75">
      <c r="A332" s="132" t="s">
        <v>4</v>
      </c>
      <c r="B332" s="65" t="s">
        <v>5</v>
      </c>
      <c r="C332" s="58">
        <f>1322000+203000+118000</f>
        <v>1643000</v>
      </c>
      <c r="D332" s="63">
        <f>148509+51900</f>
        <v>200409</v>
      </c>
      <c r="E332" s="58">
        <f>1322000+203000+118000</f>
        <v>1643000</v>
      </c>
      <c r="F332" s="63">
        <f aca="true" t="shared" si="14" ref="F332:F350">SUM(C332-E332)</f>
        <v>0</v>
      </c>
      <c r="G332" s="127"/>
    </row>
    <row r="333" spans="1:7" ht="12.75">
      <c r="A333" s="132" t="s">
        <v>109</v>
      </c>
      <c r="B333" s="65">
        <v>704</v>
      </c>
      <c r="C333" s="63"/>
      <c r="D333" s="63"/>
      <c r="E333" s="63"/>
      <c r="F333" s="63">
        <f t="shared" si="14"/>
        <v>0</v>
      </c>
      <c r="G333" s="127"/>
    </row>
    <row r="334" spans="1:7" ht="12.75">
      <c r="A334" s="133" t="s">
        <v>10</v>
      </c>
      <c r="B334" s="65" t="s">
        <v>11</v>
      </c>
      <c r="C334" s="63">
        <v>96000</v>
      </c>
      <c r="D334" s="63">
        <v>8000</v>
      </c>
      <c r="E334" s="63">
        <v>96000</v>
      </c>
      <c r="F334" s="63">
        <f t="shared" si="14"/>
        <v>0</v>
      </c>
      <c r="G334" s="127"/>
    </row>
    <row r="335" spans="1:7" ht="12.75">
      <c r="A335" s="133" t="s">
        <v>12</v>
      </c>
      <c r="B335" s="65" t="s">
        <v>13</v>
      </c>
      <c r="C335" s="63"/>
      <c r="D335" s="63"/>
      <c r="E335" s="63"/>
      <c r="F335" s="63">
        <f t="shared" si="14"/>
        <v>0</v>
      </c>
      <c r="G335" s="127"/>
    </row>
    <row r="336" spans="1:7" ht="12.75">
      <c r="A336" s="133" t="s">
        <v>18</v>
      </c>
      <c r="B336" s="65" t="s">
        <v>19</v>
      </c>
      <c r="C336" s="63">
        <f>16000+4000</f>
        <v>20000</v>
      </c>
      <c r="D336" s="63"/>
      <c r="E336" s="63">
        <f>16000+4000</f>
        <v>20000</v>
      </c>
      <c r="F336" s="63">
        <f t="shared" si="14"/>
        <v>0</v>
      </c>
      <c r="G336" s="127"/>
    </row>
    <row r="337" spans="1:7" ht="12.75">
      <c r="A337" s="133" t="s">
        <v>20</v>
      </c>
      <c r="B337" s="65" t="s">
        <v>21</v>
      </c>
      <c r="C337" s="63">
        <v>1293000</v>
      </c>
      <c r="D337" s="63"/>
      <c r="E337" s="63">
        <v>1293000</v>
      </c>
      <c r="F337" s="63">
        <f t="shared" si="14"/>
        <v>0</v>
      </c>
      <c r="G337" s="127"/>
    </row>
    <row r="338" spans="1:7" ht="12.75">
      <c r="A338" s="133" t="s">
        <v>134</v>
      </c>
      <c r="B338" s="65">
        <v>723</v>
      </c>
      <c r="C338" s="63"/>
      <c r="D338" s="63"/>
      <c r="E338" s="63"/>
      <c r="F338" s="63">
        <f t="shared" si="14"/>
        <v>0</v>
      </c>
      <c r="G338" s="127"/>
    </row>
    <row r="339" spans="1:7" ht="12.75">
      <c r="A339" s="133" t="s">
        <v>22</v>
      </c>
      <c r="B339" s="65" t="s">
        <v>23</v>
      </c>
      <c r="C339" s="58">
        <f>116000+17000+17000</f>
        <v>150000</v>
      </c>
      <c r="D339" s="63"/>
      <c r="E339" s="58">
        <f>116000+17000+17000</f>
        <v>150000</v>
      </c>
      <c r="F339" s="63">
        <f t="shared" si="14"/>
        <v>0</v>
      </c>
      <c r="G339" s="127"/>
    </row>
    <row r="340" spans="1:7" ht="12.75">
      <c r="A340" s="133" t="s">
        <v>24</v>
      </c>
      <c r="B340" s="65" t="s">
        <v>25</v>
      </c>
      <c r="C340" s="63">
        <v>15000</v>
      </c>
      <c r="D340" s="63"/>
      <c r="E340" s="63">
        <v>15000</v>
      </c>
      <c r="F340" s="63">
        <f t="shared" si="14"/>
        <v>0</v>
      </c>
      <c r="G340" s="127"/>
    </row>
    <row r="341" spans="1:7" ht="12.75">
      <c r="A341" s="133" t="s">
        <v>26</v>
      </c>
      <c r="B341" s="65" t="s">
        <v>27</v>
      </c>
      <c r="C341" s="63">
        <v>8000</v>
      </c>
      <c r="D341" s="63"/>
      <c r="E341" s="63">
        <v>8000</v>
      </c>
      <c r="F341" s="63">
        <f t="shared" si="14"/>
        <v>0</v>
      </c>
      <c r="G341" s="127"/>
    </row>
    <row r="342" spans="1:7" ht="12.75">
      <c r="A342" s="133" t="s">
        <v>30</v>
      </c>
      <c r="B342" s="65" t="s">
        <v>31</v>
      </c>
      <c r="C342" s="58">
        <f>159000+24000+14000</f>
        <v>197000</v>
      </c>
      <c r="D342" s="63"/>
      <c r="E342" s="63"/>
      <c r="F342" s="63">
        <f t="shared" si="14"/>
        <v>197000</v>
      </c>
      <c r="G342" s="127"/>
    </row>
    <row r="343" spans="1:7" ht="12.75">
      <c r="A343" s="133" t="s">
        <v>32</v>
      </c>
      <c r="B343" s="65" t="s">
        <v>33</v>
      </c>
      <c r="C343" s="63">
        <v>5000</v>
      </c>
      <c r="D343" s="63"/>
      <c r="E343" s="63">
        <v>5000</v>
      </c>
      <c r="F343" s="63">
        <f t="shared" si="14"/>
        <v>0</v>
      </c>
      <c r="G343" s="127"/>
    </row>
    <row r="344" spans="1:7" ht="12.75">
      <c r="A344" s="133" t="s">
        <v>34</v>
      </c>
      <c r="B344" s="65" t="s">
        <v>35</v>
      </c>
      <c r="C344" s="63">
        <v>11000</v>
      </c>
      <c r="D344" s="63"/>
      <c r="E344" s="63">
        <v>11000</v>
      </c>
      <c r="F344" s="63">
        <f t="shared" si="14"/>
        <v>0</v>
      </c>
      <c r="G344" s="127"/>
    </row>
    <row r="345" spans="1:7" ht="12.75">
      <c r="A345" s="133" t="s">
        <v>36</v>
      </c>
      <c r="B345" s="65" t="s">
        <v>37</v>
      </c>
      <c r="C345" s="63">
        <v>5000</v>
      </c>
      <c r="D345" s="63"/>
      <c r="E345" s="63">
        <v>5000</v>
      </c>
      <c r="F345" s="63">
        <f t="shared" si="14"/>
        <v>0</v>
      </c>
      <c r="G345" s="127"/>
    </row>
    <row r="346" spans="1:7" ht="12.75">
      <c r="A346" s="133" t="s">
        <v>119</v>
      </c>
      <c r="B346" s="65">
        <v>749</v>
      </c>
      <c r="C346" s="63"/>
      <c r="D346" s="63"/>
      <c r="E346" s="63"/>
      <c r="F346" s="63">
        <f t="shared" si="14"/>
        <v>0</v>
      </c>
      <c r="G346" s="127"/>
    </row>
    <row r="347" spans="1:7" ht="12.75">
      <c r="A347" s="133" t="s">
        <v>161</v>
      </c>
      <c r="B347" s="65">
        <v>749</v>
      </c>
      <c r="C347" s="63">
        <v>20000</v>
      </c>
      <c r="D347" s="63">
        <v>20000</v>
      </c>
      <c r="E347" s="63">
        <v>20000</v>
      </c>
      <c r="F347" s="63">
        <f t="shared" si="14"/>
        <v>0</v>
      </c>
      <c r="G347" s="127"/>
    </row>
    <row r="348" spans="1:7" ht="12.75">
      <c r="A348" s="133" t="s">
        <v>132</v>
      </c>
      <c r="B348" s="65">
        <v>749</v>
      </c>
      <c r="C348" s="63"/>
      <c r="D348" s="63"/>
      <c r="E348" s="63"/>
      <c r="F348" s="63">
        <f t="shared" si="14"/>
        <v>0</v>
      </c>
      <c r="G348" s="127"/>
    </row>
    <row r="349" spans="1:7" ht="12.75">
      <c r="A349" s="133" t="s">
        <v>158</v>
      </c>
      <c r="B349" s="65">
        <v>749</v>
      </c>
      <c r="C349" s="63"/>
      <c r="D349" s="63"/>
      <c r="E349" s="63"/>
      <c r="F349" s="63">
        <f t="shared" si="14"/>
        <v>0</v>
      </c>
      <c r="G349" s="127"/>
    </row>
    <row r="350" spans="1:7" ht="13.5" thickBot="1">
      <c r="A350" s="143" t="s">
        <v>41</v>
      </c>
      <c r="B350" s="125" t="s">
        <v>42</v>
      </c>
      <c r="C350" s="111">
        <v>4000</v>
      </c>
      <c r="D350" s="126"/>
      <c r="E350" s="111">
        <v>4000</v>
      </c>
      <c r="F350" s="63">
        <f t="shared" si="14"/>
        <v>0</v>
      </c>
      <c r="G350" s="140"/>
    </row>
    <row r="351" spans="1:7" ht="13.5" thickBot="1">
      <c r="A351" s="164" t="s">
        <v>80</v>
      </c>
      <c r="B351" s="75"/>
      <c r="C351" s="60">
        <f>SUM(C332:C350)</f>
        <v>3467000</v>
      </c>
      <c r="D351" s="60">
        <f>SUM(D331:D350)</f>
        <v>228409</v>
      </c>
      <c r="E351" s="60">
        <f>SUM(E332:E350)</f>
        <v>3270000</v>
      </c>
      <c r="F351" s="60">
        <f>SUM(F332:F350)</f>
        <v>197000</v>
      </c>
      <c r="G351" s="168">
        <f>SUM(G332:G350)</f>
        <v>0</v>
      </c>
    </row>
    <row r="352" spans="1:7" ht="12.75">
      <c r="A352" s="158" t="s">
        <v>79</v>
      </c>
      <c r="B352" s="71"/>
      <c r="C352" s="73"/>
      <c r="D352" s="73"/>
      <c r="E352" s="73"/>
      <c r="F352" s="73"/>
      <c r="G352" s="140"/>
    </row>
    <row r="353" spans="1:7" ht="12.75">
      <c r="A353" s="156" t="s">
        <v>44</v>
      </c>
      <c r="B353" s="72">
        <v>751</v>
      </c>
      <c r="C353" s="58">
        <v>100000</v>
      </c>
      <c r="D353" s="63"/>
      <c r="E353" s="58">
        <v>100000</v>
      </c>
      <c r="F353" s="58">
        <f aca="true" t="shared" si="15" ref="F353:F359">SUM(C353-E353)</f>
        <v>0</v>
      </c>
      <c r="G353" s="127"/>
    </row>
    <row r="354" spans="1:7" ht="12.75">
      <c r="A354" s="156" t="s">
        <v>45</v>
      </c>
      <c r="B354" s="72">
        <v>772</v>
      </c>
      <c r="C354" s="93">
        <v>30000</v>
      </c>
      <c r="D354" s="63"/>
      <c r="E354" s="93">
        <v>30000</v>
      </c>
      <c r="F354" s="58">
        <f t="shared" si="15"/>
        <v>0</v>
      </c>
      <c r="G354" s="127"/>
    </row>
    <row r="355" spans="1:7" ht="12.75">
      <c r="A355" s="156" t="s">
        <v>62</v>
      </c>
      <c r="B355" s="72">
        <v>812</v>
      </c>
      <c r="C355" s="93">
        <v>20000</v>
      </c>
      <c r="D355" s="63"/>
      <c r="E355" s="93">
        <v>20000</v>
      </c>
      <c r="F355" s="58">
        <f t="shared" si="15"/>
        <v>0</v>
      </c>
      <c r="G355" s="127"/>
    </row>
    <row r="356" spans="1:7" ht="12.75">
      <c r="A356" s="156" t="s">
        <v>47</v>
      </c>
      <c r="B356" s="72">
        <v>755</v>
      </c>
      <c r="C356" s="93">
        <v>152000</v>
      </c>
      <c r="D356" s="63"/>
      <c r="E356" s="93">
        <v>152000</v>
      </c>
      <c r="F356" s="58">
        <f t="shared" si="15"/>
        <v>0</v>
      </c>
      <c r="G356" s="127"/>
    </row>
    <row r="357" spans="1:7" ht="12.75">
      <c r="A357" s="156" t="s">
        <v>59</v>
      </c>
      <c r="B357" s="72">
        <v>781</v>
      </c>
      <c r="C357" s="93">
        <v>100000</v>
      </c>
      <c r="D357" s="63"/>
      <c r="E357" s="93">
        <v>100000</v>
      </c>
      <c r="F357" s="58">
        <f t="shared" si="15"/>
        <v>0</v>
      </c>
      <c r="G357" s="127"/>
    </row>
    <row r="358" spans="1:7" ht="12.75">
      <c r="A358" s="156" t="s">
        <v>50</v>
      </c>
      <c r="B358" s="72">
        <v>753</v>
      </c>
      <c r="C358" s="93">
        <v>50000</v>
      </c>
      <c r="D358" s="63"/>
      <c r="E358" s="93">
        <v>50000</v>
      </c>
      <c r="F358" s="58">
        <f t="shared" si="15"/>
        <v>0</v>
      </c>
      <c r="G358" s="127"/>
    </row>
    <row r="359" spans="1:7" ht="13.5" thickBot="1">
      <c r="A359" s="156" t="s">
        <v>61</v>
      </c>
      <c r="B359" s="79">
        <v>969</v>
      </c>
      <c r="C359" s="93">
        <v>71000</v>
      </c>
      <c r="D359" s="63"/>
      <c r="E359" s="93">
        <v>71000</v>
      </c>
      <c r="F359" s="58">
        <f t="shared" si="15"/>
        <v>0</v>
      </c>
      <c r="G359" s="127"/>
    </row>
    <row r="360" spans="1:7" ht="13.5" thickBot="1">
      <c r="A360" s="161" t="s">
        <v>80</v>
      </c>
      <c r="B360" s="71"/>
      <c r="C360" s="94">
        <f>SUM(C353:C359)</f>
        <v>523000</v>
      </c>
      <c r="D360" s="94">
        <f>SUM(D353:D359)</f>
        <v>0</v>
      </c>
      <c r="E360" s="94">
        <f>SUM(E353:E359)</f>
        <v>523000</v>
      </c>
      <c r="F360" s="94">
        <f>SUM(F353:F359)</f>
        <v>0</v>
      </c>
      <c r="G360" s="120"/>
    </row>
    <row r="361" spans="1:9" ht="12.75">
      <c r="A361" s="181" t="s">
        <v>81</v>
      </c>
      <c r="B361" s="68"/>
      <c r="C361" s="98"/>
      <c r="D361" s="98"/>
      <c r="E361" s="98"/>
      <c r="F361" s="98"/>
      <c r="G361" s="182"/>
      <c r="I361" s="124"/>
    </row>
    <row r="362" spans="1:9" ht="12.75">
      <c r="A362" s="162" t="s">
        <v>82</v>
      </c>
      <c r="B362" s="65"/>
      <c r="C362" s="63"/>
      <c r="D362" s="63"/>
      <c r="E362" s="63"/>
      <c r="F362" s="63"/>
      <c r="G362" s="127"/>
      <c r="I362" s="124"/>
    </row>
    <row r="363" spans="1:9" ht="12.75">
      <c r="A363" s="133" t="s">
        <v>83</v>
      </c>
      <c r="B363" s="82"/>
      <c r="C363" s="73"/>
      <c r="D363" s="73"/>
      <c r="E363" s="73"/>
      <c r="F363" s="73"/>
      <c r="G363" s="140"/>
      <c r="I363" s="124"/>
    </row>
    <row r="364" spans="1:7" ht="13.5" thickBot="1">
      <c r="A364" s="134" t="s">
        <v>84</v>
      </c>
      <c r="B364" s="95"/>
      <c r="C364" s="66"/>
      <c r="D364" s="66"/>
      <c r="E364" s="66"/>
      <c r="F364" s="66"/>
      <c r="G364" s="120"/>
    </row>
    <row r="365" spans="1:7" ht="13.5" thickBot="1">
      <c r="A365" s="141" t="s">
        <v>85</v>
      </c>
      <c r="B365" s="99"/>
      <c r="C365" s="91">
        <f>SUM(C362:C364)</f>
        <v>0</v>
      </c>
      <c r="D365" s="91"/>
      <c r="E365" s="91"/>
      <c r="F365" s="91"/>
      <c r="G365" s="166"/>
    </row>
    <row r="366" spans="1:7" ht="13.5" thickBot="1">
      <c r="A366" s="141" t="s">
        <v>53</v>
      </c>
      <c r="B366" s="92"/>
      <c r="C366" s="76">
        <f>SUM(C365+C360+C351)</f>
        <v>3990000</v>
      </c>
      <c r="D366" s="76">
        <f>SUM(D365+D360+D351)</f>
        <v>228409</v>
      </c>
      <c r="E366" s="76">
        <f>SUM(E365+E360+E351)</f>
        <v>3793000</v>
      </c>
      <c r="F366" s="76">
        <f>SUM(F365+F360+F351)</f>
        <v>197000</v>
      </c>
      <c r="G366" s="142"/>
    </row>
    <row r="367" spans="1:7" ht="13.5" thickBot="1">
      <c r="A367" s="141" t="s">
        <v>105</v>
      </c>
      <c r="B367" s="92"/>
      <c r="C367" s="91">
        <f>SUM(C366+C329+C287+C243+C192+C150+C196)</f>
        <v>252591611</v>
      </c>
      <c r="D367" s="91">
        <f>SUM(D366+D329+D287+D243+D192+D150)</f>
        <v>27449051.280000005</v>
      </c>
      <c r="E367" s="91">
        <f>SUM(E366+E329+E287+E243+E192+E150+E196)</f>
        <v>251076102</v>
      </c>
      <c r="F367" s="91">
        <f>SUM(F366+F329+F287+F243+F192+F150+F196)</f>
        <v>1515509.000000001</v>
      </c>
      <c r="G367" s="166"/>
    </row>
    <row r="368" spans="1:7" ht="13.5" thickBot="1">
      <c r="A368" s="141" t="s">
        <v>89</v>
      </c>
      <c r="B368" s="92"/>
      <c r="C368" s="91">
        <f>SUM(C367+C110+C67)</f>
        <v>336750364</v>
      </c>
      <c r="D368" s="91">
        <f>SUM(D367+D110+D67)</f>
        <v>37311594.93000001</v>
      </c>
      <c r="E368" s="91">
        <f>SUM(E367+E110+E67)</f>
        <v>334695395.45</v>
      </c>
      <c r="F368" s="91">
        <f>SUM(F367+F110+F67)</f>
        <v>2054968.550000001</v>
      </c>
      <c r="G368" s="166"/>
    </row>
    <row r="369" spans="1:7" ht="12.75">
      <c r="A369" s="123" t="s">
        <v>130</v>
      </c>
      <c r="B369" s="10"/>
      <c r="C369" s="7"/>
      <c r="D369" s="7"/>
      <c r="E369" s="7"/>
      <c r="F369" s="7"/>
      <c r="G369" s="7"/>
    </row>
  </sheetData>
  <sheetProtection/>
  <mergeCells count="2">
    <mergeCell ref="A2:G2"/>
    <mergeCell ref="A1:G1"/>
  </mergeCells>
  <printOptions/>
  <pageMargins left="1.379861111" right="0" top="1" bottom="0.25" header="0" footer="0"/>
  <pageSetup fitToHeight="0" horizontalDpi="300" verticalDpi="300" orientation="landscape" paperSize="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pane xSplit="7" ySplit="8" topLeftCell="L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D10" sqref="D10"/>
    </sheetView>
  </sheetViews>
  <sheetFormatPr defaultColWidth="9.00390625" defaultRowHeight="12.75"/>
  <cols>
    <col min="1" max="1" width="42.00390625" style="1" customWidth="1"/>
    <col min="2" max="2" width="9.421875" style="1" customWidth="1"/>
    <col min="3" max="3" width="14.8515625" style="1" customWidth="1"/>
    <col min="4" max="4" width="15.00390625" style="1" customWidth="1"/>
    <col min="5" max="5" width="15.8515625" style="1" customWidth="1"/>
    <col min="6" max="6" width="17.140625" style="1" customWidth="1"/>
    <col min="7" max="7" width="12.8515625" style="1" customWidth="1"/>
    <col min="8" max="8" width="16.140625" style="1" customWidth="1"/>
    <col min="9" max="9" width="11.57421875" style="1" customWidth="1"/>
    <col min="10" max="10" width="11.140625" style="1" customWidth="1"/>
    <col min="11" max="11" width="11.57421875" style="1" customWidth="1"/>
    <col min="12" max="12" width="13.421875" style="1" customWidth="1"/>
    <col min="13" max="13" width="11.28125" style="1" customWidth="1"/>
    <col min="14" max="14" width="10.421875" style="1" customWidth="1"/>
    <col min="15" max="15" width="13.140625" style="1" customWidth="1"/>
    <col min="16" max="16" width="24.140625" style="1" customWidth="1"/>
    <col min="17" max="17" width="21.7109375" style="1" customWidth="1"/>
    <col min="18" max="18" width="24.421875" style="1" customWidth="1"/>
    <col min="19" max="16384" width="9.00390625" style="1" customWidth="1"/>
  </cols>
  <sheetData>
    <row r="1" spans="1:7" ht="19.5">
      <c r="A1" s="217" t="s">
        <v>157</v>
      </c>
      <c r="B1" s="217"/>
      <c r="C1" s="217"/>
      <c r="D1" s="217"/>
      <c r="E1" s="217"/>
      <c r="F1" s="217"/>
      <c r="G1" s="217"/>
    </row>
    <row r="2" spans="1:7" s="22" customFormat="1" ht="19.5">
      <c r="A2" s="217" t="s">
        <v>160</v>
      </c>
      <c r="B2" s="217"/>
      <c r="C2" s="217"/>
      <c r="D2" s="217"/>
      <c r="E2" s="217"/>
      <c r="F2" s="217"/>
      <c r="G2" s="217"/>
    </row>
    <row r="3" spans="1:7" s="22" customFormat="1" ht="19.5">
      <c r="A3" s="7" t="s">
        <v>96</v>
      </c>
      <c r="B3" s="3"/>
      <c r="C3" s="3"/>
      <c r="D3" s="3"/>
      <c r="E3" s="3"/>
      <c r="F3" s="3"/>
      <c r="G3" s="3"/>
    </row>
    <row r="4" spans="1:19" s="22" customFormat="1" ht="15">
      <c r="A4" s="2" t="s">
        <v>95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7" s="22" customFormat="1" ht="15.75" thickBot="1">
      <c r="A5" s="2" t="s">
        <v>97</v>
      </c>
      <c r="B5" s="5"/>
      <c r="C5" s="2"/>
      <c r="D5" s="2"/>
      <c r="E5" s="2"/>
      <c r="F5" s="2"/>
      <c r="G5" s="2"/>
    </row>
    <row r="6" spans="1:12" s="22" customFormat="1" ht="15.75" thickBot="1">
      <c r="A6" s="191"/>
      <c r="B6" s="192" t="s">
        <v>1</v>
      </c>
      <c r="C6" s="192" t="s">
        <v>3</v>
      </c>
      <c r="D6" s="193" t="s">
        <v>70</v>
      </c>
      <c r="E6" s="194"/>
      <c r="F6" s="195" t="s">
        <v>73</v>
      </c>
      <c r="G6" s="196"/>
      <c r="H6" s="21"/>
      <c r="I6" s="21"/>
      <c r="J6" s="21"/>
      <c r="K6" s="21"/>
      <c r="L6" s="21"/>
    </row>
    <row r="7" spans="1:12" s="22" customFormat="1" ht="15">
      <c r="A7" s="197" t="s">
        <v>66</v>
      </c>
      <c r="B7" s="198" t="s">
        <v>2</v>
      </c>
      <c r="C7" s="199" t="s">
        <v>67</v>
      </c>
      <c r="D7" s="200" t="s">
        <v>71</v>
      </c>
      <c r="E7" s="200" t="s">
        <v>72</v>
      </c>
      <c r="F7" s="207" t="s">
        <v>3</v>
      </c>
      <c r="G7" s="211" t="s">
        <v>74</v>
      </c>
      <c r="H7" s="21"/>
      <c r="I7" s="21"/>
      <c r="J7" s="21"/>
      <c r="K7" s="21"/>
      <c r="L7" s="21"/>
    </row>
    <row r="8" spans="1:21" s="21" customFormat="1" ht="15.75" thickBot="1">
      <c r="A8" s="203" t="s">
        <v>69</v>
      </c>
      <c r="B8" s="204"/>
      <c r="C8" s="205" t="s">
        <v>68</v>
      </c>
      <c r="D8" s="205" t="s">
        <v>75</v>
      </c>
      <c r="E8" s="208" t="s">
        <v>76</v>
      </c>
      <c r="F8" s="209" t="s">
        <v>77</v>
      </c>
      <c r="G8" s="212" t="s">
        <v>78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</row>
    <row r="9" spans="1:20" s="21" customFormat="1" ht="15.75" customHeight="1" thickBot="1">
      <c r="A9" s="174" t="s">
        <v>0</v>
      </c>
      <c r="B9" s="108"/>
      <c r="C9" s="108"/>
      <c r="D9" s="108"/>
      <c r="E9" s="108"/>
      <c r="F9" s="116"/>
      <c r="G9" s="213"/>
      <c r="H9" s="4"/>
      <c r="I9" s="4"/>
      <c r="J9" s="4"/>
      <c r="K9" s="4"/>
      <c r="L9" s="4"/>
      <c r="M9" s="4"/>
      <c r="N9" s="4"/>
      <c r="O9" s="4"/>
      <c r="P9" s="27"/>
      <c r="Q9" s="27"/>
      <c r="R9" s="27"/>
      <c r="S9" s="27"/>
      <c r="T9" s="27"/>
    </row>
    <row r="10" spans="1:20" s="21" customFormat="1" ht="12.75" customHeight="1">
      <c r="A10" s="128" t="s">
        <v>4</v>
      </c>
      <c r="B10" s="129" t="s">
        <v>5</v>
      </c>
      <c r="C10" s="130">
        <f>SUM(Sheet1!C14+Sheet1!C71+Sheet1!C114+Sheet1!C155+Sheet1!C201+Sheet1!C247+Sheet1!C291+Sheet1!C332)</f>
        <v>211105191</v>
      </c>
      <c r="D10" s="130">
        <f>SUM(Sheet1!D14+Sheet1!D71+Sheet1!D114+Sheet1!D155+Sheet1!D201+Sheet1!D247+Sheet1!D291+Sheet1!D332)</f>
        <v>27567182.020000003</v>
      </c>
      <c r="E10" s="130">
        <f>SUM(Sheet1!E14+Sheet1!E71+Sheet1!E114+Sheet1!E155+Sheet1!E201+Sheet1!E247+Sheet1!E291+Sheet1!E332)</f>
        <v>210745971.54</v>
      </c>
      <c r="F10" s="73">
        <f>SUM(C10-E10)</f>
        <v>359219.46000000834</v>
      </c>
      <c r="G10" s="131"/>
      <c r="H10" s="4"/>
      <c r="I10" s="4"/>
      <c r="J10" s="4"/>
      <c r="K10" s="4"/>
      <c r="L10" s="4"/>
      <c r="M10" s="4"/>
      <c r="N10" s="4"/>
      <c r="O10" s="4"/>
      <c r="P10" s="27"/>
      <c r="Q10" s="27"/>
      <c r="R10" s="27"/>
      <c r="S10" s="27"/>
      <c r="T10" s="27"/>
    </row>
    <row r="11" spans="1:20" s="21" customFormat="1" ht="12.75" customHeight="1">
      <c r="A11" s="132" t="s">
        <v>6</v>
      </c>
      <c r="B11" s="65" t="s">
        <v>7</v>
      </c>
      <c r="C11" s="63">
        <f>SUM(Sheet1!C157+Sheet1!C202+Sheet1!C248)</f>
        <v>944000</v>
      </c>
      <c r="D11" s="63">
        <f>SUM(Sheet1!D157+Sheet1!D202+Sheet1!D248+Sheet1!D16+Sheet1!D72+Sheet1!D116+Sheet1!D292)</f>
        <v>28401</v>
      </c>
      <c r="E11" s="63">
        <f>SUM(Sheet1!E157+Sheet1!E202+Sheet1!E248+Sheet1!E16+Sheet1!E72+Sheet1!E116+Sheet1!E292)</f>
        <v>944000</v>
      </c>
      <c r="F11" s="73">
        <f aca="true" t="shared" si="0" ref="F11:F37">SUM(C11-E11)</f>
        <v>0</v>
      </c>
      <c r="G11" s="127"/>
      <c r="H11" s="4"/>
      <c r="I11" s="4"/>
      <c r="J11" s="4"/>
      <c r="K11" s="4"/>
      <c r="L11" s="4"/>
      <c r="M11" s="4"/>
      <c r="N11" s="4"/>
      <c r="O11" s="4"/>
      <c r="P11" s="27"/>
      <c r="Q11" s="27"/>
      <c r="R11" s="27"/>
      <c r="S11" s="27"/>
      <c r="T11" s="27"/>
    </row>
    <row r="12" spans="1:20" s="21" customFormat="1" ht="12.75" customHeight="1">
      <c r="A12" s="132" t="s">
        <v>8</v>
      </c>
      <c r="B12" s="65" t="s">
        <v>9</v>
      </c>
      <c r="C12" s="63">
        <f>SUM(Sheet1!C156+Sheet1!C203+Sheet1!C249)</f>
        <v>725000</v>
      </c>
      <c r="D12" s="63">
        <f>SUM(Sheet1!D156+Sheet1!D203+Sheet1!D249+Sheet1!D115+Sheet1!D15+Sheet1!D12)</f>
        <v>56691.46</v>
      </c>
      <c r="E12" s="63">
        <f>SUM(Sheet1!E156+Sheet1!E203+Sheet1!E249+Sheet1!E115+Sheet1!E15)</f>
        <v>725000</v>
      </c>
      <c r="F12" s="73">
        <f t="shared" si="0"/>
        <v>0</v>
      </c>
      <c r="G12" s="127"/>
      <c r="H12" s="4"/>
      <c r="I12" s="4"/>
      <c r="J12" s="4"/>
      <c r="K12" s="4"/>
      <c r="L12" s="4"/>
      <c r="M12" s="4"/>
      <c r="N12" s="4"/>
      <c r="O12" s="4"/>
      <c r="P12" s="27"/>
      <c r="Q12" s="27"/>
      <c r="R12" s="27"/>
      <c r="S12" s="27"/>
      <c r="T12" s="27"/>
    </row>
    <row r="13" spans="1:20" s="21" customFormat="1" ht="12.75" customHeight="1">
      <c r="A13" s="132" t="s">
        <v>143</v>
      </c>
      <c r="B13" s="65">
        <v>707</v>
      </c>
      <c r="C13" s="63"/>
      <c r="D13" s="63">
        <f>SUM(Sheet1!D204)</f>
        <v>0</v>
      </c>
      <c r="E13" s="63">
        <f>SUM(Sheet1!E204)</f>
        <v>0</v>
      </c>
      <c r="F13" s="73">
        <f t="shared" si="0"/>
        <v>0</v>
      </c>
      <c r="G13" s="127"/>
      <c r="H13" s="4"/>
      <c r="I13" s="4"/>
      <c r="J13" s="4"/>
      <c r="K13" s="4"/>
      <c r="L13" s="4"/>
      <c r="M13" s="4"/>
      <c r="N13" s="4"/>
      <c r="O13" s="4"/>
      <c r="P13" s="27"/>
      <c r="Q13" s="27"/>
      <c r="R13" s="27"/>
      <c r="S13" s="27"/>
      <c r="T13" s="27"/>
    </row>
    <row r="14" spans="1:20" s="21" customFormat="1" ht="12.75" customHeight="1">
      <c r="A14" s="133" t="s">
        <v>10</v>
      </c>
      <c r="B14" s="65" t="s">
        <v>11</v>
      </c>
      <c r="C14" s="63">
        <f>SUM(Sheet1!C17+Sheet1!C73+Sheet1!C117+Sheet1!C158+Sheet1!C205+Sheet1!C250+Sheet1!C293+Sheet1!C334)</f>
        <v>17088000</v>
      </c>
      <c r="D14" s="63">
        <f>SUM(Sheet1!D17+Sheet1!D73+Sheet1!D117+Sheet1!D158+Sheet1!D205+Sheet1!D250+Sheet1!D293+Sheet1!D334)</f>
        <v>1334297.83</v>
      </c>
      <c r="E14" s="63">
        <f>SUM(Sheet1!E17+Sheet1!E73+Sheet1!E117+Sheet1!E158+Sheet1!E205+Sheet1!E250+Sheet1!E293+Sheet1!E334)</f>
        <v>17026333.17</v>
      </c>
      <c r="F14" s="73">
        <f t="shared" si="0"/>
        <v>61666.82999999821</v>
      </c>
      <c r="G14" s="127"/>
      <c r="H14" s="4"/>
      <c r="I14" s="4"/>
      <c r="J14" s="4"/>
      <c r="K14" s="4"/>
      <c r="L14" s="4"/>
      <c r="M14" s="4"/>
      <c r="N14" s="4"/>
      <c r="O14" s="4"/>
      <c r="P14" s="27"/>
      <c r="Q14" s="27"/>
      <c r="R14" s="27"/>
      <c r="S14" s="27"/>
      <c r="T14" s="27"/>
    </row>
    <row r="15" spans="1:20" s="21" customFormat="1" ht="12.75" customHeight="1" thickBot="1">
      <c r="A15" s="133" t="s">
        <v>14</v>
      </c>
      <c r="B15" s="65" t="s">
        <v>15</v>
      </c>
      <c r="C15" s="63">
        <f>SUM(Sheet1!C19+Sheet1!C207+Sheet1!C252)</f>
        <v>266500</v>
      </c>
      <c r="D15" s="63">
        <f>SUM(Sheet1!D19+Sheet1!D207+Sheet1!D252)</f>
        <v>5500</v>
      </c>
      <c r="E15" s="63">
        <f>SUM(Sheet1!E19+Sheet1!E207+Sheet1!E252)</f>
        <v>266500</v>
      </c>
      <c r="F15" s="73">
        <f t="shared" si="0"/>
        <v>0</v>
      </c>
      <c r="G15" s="127"/>
      <c r="H15" s="4"/>
      <c r="I15" s="4"/>
      <c r="J15" s="4"/>
      <c r="K15" s="4"/>
      <c r="L15" s="4"/>
      <c r="M15" s="4"/>
      <c r="N15" s="4"/>
      <c r="O15" s="4"/>
      <c r="P15" s="27"/>
      <c r="Q15" s="27"/>
      <c r="R15" s="27"/>
      <c r="S15" s="27"/>
      <c r="T15" s="27"/>
    </row>
    <row r="16" spans="1:20" s="21" customFormat="1" ht="12.75" customHeight="1" thickBot="1">
      <c r="A16" s="133" t="s">
        <v>16</v>
      </c>
      <c r="B16" s="65" t="s">
        <v>17</v>
      </c>
      <c r="C16" s="63">
        <f>SUM(Sheet1!C20+Sheet1!C208+Sheet1!C253)</f>
        <v>266500</v>
      </c>
      <c r="D16" s="63">
        <f>SUM(Sheet1!D20+Sheet1!D208+Sheet1!D253)</f>
        <v>5500</v>
      </c>
      <c r="E16" s="63">
        <f>SUM(Sheet1!E20+Sheet1!E208+Sheet1!E253)</f>
        <v>266500</v>
      </c>
      <c r="F16" s="73">
        <f t="shared" si="0"/>
        <v>0</v>
      </c>
      <c r="G16" s="127"/>
      <c r="H16" s="4"/>
      <c r="I16" s="4"/>
      <c r="J16" s="4"/>
      <c r="K16" s="188"/>
      <c r="L16" s="4"/>
      <c r="M16" s="4"/>
      <c r="N16" s="4"/>
      <c r="O16" s="4"/>
      <c r="P16" s="27"/>
      <c r="Q16" s="27"/>
      <c r="R16" s="27"/>
      <c r="S16" s="27"/>
      <c r="T16" s="27"/>
    </row>
    <row r="17" spans="1:20" s="21" customFormat="1" ht="12.75" customHeight="1">
      <c r="A17" s="133" t="s">
        <v>18</v>
      </c>
      <c r="B17" s="65" t="s">
        <v>19</v>
      </c>
      <c r="C17" s="63">
        <f>SUM(Sheet1!C21+Sheet1!C75+Sheet1!C119+Sheet1!C160+Sheet1!C210+Sheet1!C254+Sheet1!C295+Sheet1!C336)</f>
        <v>3552000</v>
      </c>
      <c r="D17" s="63">
        <f>SUM(Sheet1!D21+Sheet1!D75+Sheet1!D119+Sheet1!D160+Sheet1!D210+Sheet1!D254+Sheet1!D295+Sheet1!D336)</f>
        <v>0</v>
      </c>
      <c r="E17" s="63">
        <f>SUM(Sheet1!E21+Sheet1!E75+Sheet1!E119+Sheet1!E160+Sheet1!E210+Sheet1!E254+Sheet1!E295+Sheet1!E336)</f>
        <v>3531000</v>
      </c>
      <c r="F17" s="73">
        <f t="shared" si="0"/>
        <v>21000</v>
      </c>
      <c r="G17" s="127"/>
      <c r="H17" s="4"/>
      <c r="I17" s="4"/>
      <c r="J17" s="4"/>
      <c r="K17" s="4"/>
      <c r="L17" s="4"/>
      <c r="M17" s="4"/>
      <c r="N17" s="4"/>
      <c r="O17" s="4"/>
      <c r="P17" s="27"/>
      <c r="Q17" s="27"/>
      <c r="R17" s="27"/>
      <c r="S17" s="27"/>
      <c r="T17" s="27"/>
    </row>
    <row r="18" spans="1:20" s="21" customFormat="1" ht="12.75" customHeight="1">
      <c r="A18" s="133" t="s">
        <v>121</v>
      </c>
      <c r="B18" s="65">
        <v>723</v>
      </c>
      <c r="C18" s="63"/>
      <c r="D18" s="63">
        <f>SUM(Sheet1!D22+Sheet1!D85+Sheet1!D124+Sheet1!D162+Sheet1!D209+Sheet1!D296+Sheet1!D338)</f>
        <v>0</v>
      </c>
      <c r="E18" s="63">
        <f>SUM(Sheet1!E22+Sheet1!E85+Sheet1!E124+Sheet1!E162+Sheet1!E209+Sheet1!E296+Sheet1!E338)</f>
        <v>0</v>
      </c>
      <c r="F18" s="73">
        <f t="shared" si="0"/>
        <v>0</v>
      </c>
      <c r="G18" s="127"/>
      <c r="H18" s="4"/>
      <c r="I18" s="4"/>
      <c r="J18" s="4"/>
      <c r="K18" s="4"/>
      <c r="L18" s="4"/>
      <c r="M18" s="4"/>
      <c r="N18" s="4"/>
      <c r="O18" s="4"/>
      <c r="P18" s="27"/>
      <c r="Q18" s="27"/>
      <c r="R18" s="27"/>
      <c r="S18" s="27"/>
      <c r="T18" s="27"/>
    </row>
    <row r="19" spans="1:20" s="21" customFormat="1" ht="12.75" customHeight="1">
      <c r="A19" s="133" t="s">
        <v>20</v>
      </c>
      <c r="B19" s="65" t="s">
        <v>21</v>
      </c>
      <c r="C19" s="63">
        <f>SUM(Sheet1!C120+Sheet1!C161+Sheet1!C297+Sheet1!C337)</f>
        <v>5500000</v>
      </c>
      <c r="D19" s="63">
        <f>SUM(Sheet1!D120+Sheet1!D161+Sheet1!D297+Sheet1!D337)</f>
        <v>1573466.76</v>
      </c>
      <c r="E19" s="63">
        <f>SUM(Sheet1!E120+Sheet1!E161+Sheet1!E297+Sheet1!E337+Sheet1!E76)</f>
        <v>5500000</v>
      </c>
      <c r="F19" s="73">
        <f t="shared" si="0"/>
        <v>0</v>
      </c>
      <c r="G19" s="127"/>
      <c r="H19" s="4"/>
      <c r="I19" s="4"/>
      <c r="J19" s="4"/>
      <c r="K19" s="4"/>
      <c r="L19" s="4"/>
      <c r="M19" s="4"/>
      <c r="N19" s="4"/>
      <c r="O19" s="4"/>
      <c r="P19" s="27"/>
      <c r="Q19" s="27"/>
      <c r="R19" s="27"/>
      <c r="S19" s="27"/>
      <c r="T19" s="27"/>
    </row>
    <row r="20" spans="1:20" s="21" customFormat="1" ht="12.75" customHeight="1">
      <c r="A20" s="133" t="s">
        <v>22</v>
      </c>
      <c r="B20" s="65" t="s">
        <v>23</v>
      </c>
      <c r="C20" s="63">
        <f>SUM(Sheet1!C23+Sheet1!C77+Sheet1!C121+Sheet1!C163+Sheet1!C211+Sheet1!C256+Sheet1!C298+Sheet1!C339)</f>
        <v>17438000</v>
      </c>
      <c r="D20" s="63">
        <f>SUM(Sheet1!D23+Sheet1!D77+Sheet1!D121+Sheet1!D163+Sheet1!D211+Sheet1!D256+Sheet1!D298+Sheet1!D339)</f>
        <v>0</v>
      </c>
      <c r="E20" s="63">
        <f>SUM(Sheet1!E23+Sheet1!E77+Sheet1!E121+Sheet1!E163+Sheet1!E211+Sheet1!E256+Sheet1!E298+Sheet1!E339)</f>
        <v>17278300.5</v>
      </c>
      <c r="F20" s="73">
        <f t="shared" si="0"/>
        <v>159699.5</v>
      </c>
      <c r="G20" s="127"/>
      <c r="H20" s="4"/>
      <c r="I20" s="4"/>
      <c r="J20" s="4"/>
      <c r="K20" s="4"/>
      <c r="L20" s="4"/>
      <c r="M20" s="4"/>
      <c r="N20" s="4"/>
      <c r="O20" s="4"/>
      <c r="P20" s="27"/>
      <c r="Q20" s="27"/>
      <c r="R20" s="27"/>
      <c r="S20" s="27"/>
      <c r="T20" s="27"/>
    </row>
    <row r="21" spans="1:20" s="21" customFormat="1" ht="12.75" customHeight="1">
      <c r="A21" s="133" t="s">
        <v>24</v>
      </c>
      <c r="B21" s="65" t="s">
        <v>25</v>
      </c>
      <c r="C21" s="63">
        <f>SUM(Sheet1!C24+Sheet1!C78+Sheet1!C122+Sheet1!C164+Sheet1!C212+Sheet1!C257+Sheet1!C299+Sheet1!C340)</f>
        <v>3401000</v>
      </c>
      <c r="D21" s="63">
        <f>SUM(Sheet1!D24+Sheet1!D78+Sheet1!D122+Sheet1!D164+Sheet1!D212+Sheet1!D257+Sheet1!D299+Sheet1!D340)</f>
        <v>0</v>
      </c>
      <c r="E21" s="63">
        <f>SUM(Sheet1!E24+Sheet1!E78+Sheet1!E122+Sheet1!E164+Sheet1!E212+Sheet1!E257+Sheet1!E299+Sheet1!E340)</f>
        <v>3401000</v>
      </c>
      <c r="F21" s="73">
        <f t="shared" si="0"/>
        <v>0</v>
      </c>
      <c r="G21" s="127"/>
      <c r="H21" s="4"/>
      <c r="I21" s="4"/>
      <c r="J21" s="4"/>
      <c r="K21" s="4"/>
      <c r="L21" s="4"/>
      <c r="M21" s="4"/>
      <c r="N21" s="4"/>
      <c r="O21" s="4"/>
      <c r="P21" s="27"/>
      <c r="Q21" s="27"/>
      <c r="R21" s="27"/>
      <c r="S21" s="27"/>
      <c r="T21" s="27"/>
    </row>
    <row r="22" spans="1:15" s="22" customFormat="1" ht="12.75" customHeight="1">
      <c r="A22" s="133" t="s">
        <v>26</v>
      </c>
      <c r="B22" s="65" t="s">
        <v>27</v>
      </c>
      <c r="C22" s="63">
        <f>SUM(Sheet1!C25+Sheet1!C79+Sheet1!C123+Sheet1!C165+Sheet1!C213+Sheet1!C258+Sheet1!C300+Sheet1!C341)</f>
        <v>1424000</v>
      </c>
      <c r="D22" s="63">
        <f>SUM(Sheet1!D25+Sheet1!D79+Sheet1!D123+Sheet1!D165+Sheet1!D213+Sheet1!D258+Sheet1!D300+Sheet1!D341)</f>
        <v>0</v>
      </c>
      <c r="E22" s="63">
        <f>SUM(Sheet1!E25+Sheet1!E79+Sheet1!E123+Sheet1!E165+Sheet1!E213+Sheet1!E258+Sheet1!E300+Sheet1!E341)</f>
        <v>1410000</v>
      </c>
      <c r="F22" s="73">
        <f t="shared" si="0"/>
        <v>14000</v>
      </c>
      <c r="G22" s="127"/>
      <c r="I22" s="106"/>
      <c r="O22" s="4"/>
    </row>
    <row r="23" spans="1:15" s="22" customFormat="1" ht="12.75" customHeight="1">
      <c r="A23" s="133" t="s">
        <v>28</v>
      </c>
      <c r="B23" s="65">
        <v>716</v>
      </c>
      <c r="C23" s="63">
        <f>SUM(Sheet1!C80+Sheet1!C214+Sheet1!C259)</f>
        <v>91000</v>
      </c>
      <c r="D23" s="63">
        <f>SUM(Sheet1!D80+Sheet1!D214+Sheet1!D259)</f>
        <v>13820.57</v>
      </c>
      <c r="E23" s="63">
        <f>SUM(Sheet1!E80+Sheet1!E214+Sheet1!E259)</f>
        <v>91000</v>
      </c>
      <c r="F23" s="73">
        <f t="shared" si="0"/>
        <v>0</v>
      </c>
      <c r="G23" s="127"/>
      <c r="I23" s="6"/>
      <c r="J23" s="21"/>
      <c r="K23" s="21"/>
      <c r="L23" s="21"/>
      <c r="O23" s="4"/>
    </row>
    <row r="24" spans="1:15" s="22" customFormat="1" ht="12.75" customHeight="1">
      <c r="A24" s="133" t="s">
        <v>30</v>
      </c>
      <c r="B24" s="65" t="s">
        <v>31</v>
      </c>
      <c r="C24" s="63">
        <f>SUM(Sheet1!C26+Sheet1!C81+Sheet1!C125+Sheet1!C166+Sheet1!C215+Sheet1!C260+Sheet1!C301+Sheet1!C342)</f>
        <v>25057671</v>
      </c>
      <c r="D24" s="63">
        <f>SUM(Sheet1!D26+Sheet1!D81+Sheet1!D125+Sheet1!D166+Sheet1!D215+Sheet1!D260+Sheet1!D301+Sheet1!D342)</f>
        <v>462245.94</v>
      </c>
      <c r="E24" s="63">
        <f>SUM(Sheet1!E26+Sheet1!E81+Sheet1!E125+Sheet1!E166+Sheet1!E215+Sheet1!E260+Sheet1!E301+Sheet1!E342)</f>
        <v>23650037.49</v>
      </c>
      <c r="F24" s="73">
        <f t="shared" si="0"/>
        <v>1407633.5100000016</v>
      </c>
      <c r="G24" s="127"/>
      <c r="H24" s="107"/>
      <c r="I24" s="107"/>
      <c r="J24" s="107"/>
      <c r="K24" s="107"/>
      <c r="L24" s="107"/>
      <c r="M24" s="107"/>
      <c r="N24" s="27"/>
      <c r="O24" s="4"/>
    </row>
    <row r="25" spans="1:15" s="22" customFormat="1" ht="12.75" customHeight="1">
      <c r="A25" s="133" t="s">
        <v>32</v>
      </c>
      <c r="B25" s="65" t="s">
        <v>33</v>
      </c>
      <c r="C25" s="63">
        <f>SUM(Sheet1!C27+Sheet1!C82+Sheet1!C126+Sheet1!C167+Sheet1!C216+Sheet1!C261+Sheet1!C302+Sheet1!C343)</f>
        <v>857000</v>
      </c>
      <c r="D25" s="63">
        <f>SUM(Sheet1!D27+Sheet1!D82+Sheet1!D126+Sheet1!D167+Sheet1!D216+Sheet1!D261+Sheet1!D302+Sheet1!D343)</f>
        <v>20600</v>
      </c>
      <c r="E25" s="63">
        <f>SUM(Sheet1!E27+Sheet1!E82+Sheet1!E126+Sheet1!E167+Sheet1!E216+Sheet1!E261+Sheet1!E302+Sheet1!E343)</f>
        <v>849000</v>
      </c>
      <c r="F25" s="73">
        <f t="shared" si="0"/>
        <v>8000</v>
      </c>
      <c r="G25" s="127"/>
      <c r="H25" s="106"/>
      <c r="I25" s="4"/>
      <c r="J25" s="4"/>
      <c r="K25" s="4"/>
      <c r="L25" s="4"/>
      <c r="M25" s="4"/>
      <c r="N25" s="27"/>
      <c r="O25" s="4"/>
    </row>
    <row r="26" spans="1:15" s="22" customFormat="1" ht="12.75" customHeight="1">
      <c r="A26" s="133" t="s">
        <v>34</v>
      </c>
      <c r="B26" s="65" t="s">
        <v>35</v>
      </c>
      <c r="C26" s="63">
        <f>SUM(Sheet1!C28+Sheet1!C83+Sheet1!C127+Sheet1!C168+Sheet1!C217+Sheet1!C262+Sheet1!C303+Sheet1!C344)</f>
        <v>1812000</v>
      </c>
      <c r="D26" s="63">
        <f>SUM(Sheet1!D28+Sheet1!D83+Sheet1!D127+Sheet1!D168+Sheet1!D217+Sheet1!D262+Sheet1!D303+Sheet1!D344)</f>
        <v>41937.5</v>
      </c>
      <c r="E26" s="63">
        <f>SUM(Sheet1!E28+Sheet1!E83+Sheet1!E127+Sheet1!E168+Sheet1!E217+Sheet1!E262+Sheet1!E303+Sheet1!E344)</f>
        <v>1800800</v>
      </c>
      <c r="F26" s="73">
        <f t="shared" si="0"/>
        <v>11200</v>
      </c>
      <c r="G26" s="127"/>
      <c r="H26" s="106"/>
      <c r="I26" s="4"/>
      <c r="J26" s="4"/>
      <c r="K26" s="4"/>
      <c r="L26" s="4"/>
      <c r="M26" s="4"/>
      <c r="N26" s="27"/>
      <c r="O26" s="4"/>
    </row>
    <row r="27" spans="1:15" s="22" customFormat="1" ht="12.75" customHeight="1">
      <c r="A27" s="133" t="s">
        <v>36</v>
      </c>
      <c r="B27" s="65" t="s">
        <v>37</v>
      </c>
      <c r="C27" s="63">
        <f>SUM(Sheet1!C29+Sheet1!C84+Sheet1!C128+Sheet1!C169+Sheet1!C218+Sheet1!C263+Sheet1!C304+Sheet1!C345)</f>
        <v>852000</v>
      </c>
      <c r="D27" s="63">
        <f>SUM(Sheet1!D29+Sheet1!D84+Sheet1!D128+Sheet1!D169+Sheet1!D218+Sheet1!D263+Sheet1!D304+Sheet1!D345)</f>
        <v>17011.7</v>
      </c>
      <c r="E27" s="63">
        <f>SUM(Sheet1!E29+Sheet1!E84+Sheet1!E128+Sheet1!E169+Sheet1!E218+Sheet1!E263+Sheet1!E304+Sheet1!E345)</f>
        <v>843881.75</v>
      </c>
      <c r="F27" s="73">
        <f t="shared" si="0"/>
        <v>8118.25</v>
      </c>
      <c r="G27" s="127"/>
      <c r="H27" s="106"/>
      <c r="I27" s="4"/>
      <c r="J27" s="4"/>
      <c r="K27" s="4"/>
      <c r="L27" s="4"/>
      <c r="M27" s="4"/>
      <c r="N27" s="27"/>
      <c r="O27" s="4"/>
    </row>
    <row r="28" spans="1:15" s="22" customFormat="1" ht="12.75" customHeight="1">
      <c r="A28" s="133" t="s">
        <v>38</v>
      </c>
      <c r="B28" s="65" t="s">
        <v>29</v>
      </c>
      <c r="C28" s="63"/>
      <c r="D28" s="63"/>
      <c r="E28" s="63"/>
      <c r="F28" s="73">
        <f t="shared" si="0"/>
        <v>0</v>
      </c>
      <c r="G28" s="127"/>
      <c r="H28" s="106"/>
      <c r="I28" s="4"/>
      <c r="J28" s="4"/>
      <c r="K28" s="4"/>
      <c r="L28" s="4"/>
      <c r="M28" s="4"/>
      <c r="N28" s="27"/>
      <c r="O28" s="4"/>
    </row>
    <row r="29" spans="1:15" s="22" customFormat="1" ht="12.75" customHeight="1">
      <c r="A29" s="133" t="s">
        <v>128</v>
      </c>
      <c r="B29" s="65">
        <v>749</v>
      </c>
      <c r="C29" s="63">
        <f>SUM(Sheet1!C33)</f>
        <v>3202614</v>
      </c>
      <c r="D29" s="63">
        <f>SUM(Sheet1!D30+Sheet1!D219)</f>
        <v>431032</v>
      </c>
      <c r="E29" s="63">
        <f>SUM(Sheet1!E33)</f>
        <v>3202614</v>
      </c>
      <c r="F29" s="73">
        <f t="shared" si="0"/>
        <v>0</v>
      </c>
      <c r="G29" s="127"/>
      <c r="H29" s="106"/>
      <c r="I29" s="4"/>
      <c r="J29" s="4"/>
      <c r="K29" s="4"/>
      <c r="L29" s="4"/>
      <c r="M29" s="4"/>
      <c r="N29" s="27"/>
      <c r="O29" s="4"/>
    </row>
    <row r="30" spans="1:19" s="22" customFormat="1" ht="12.75" customHeight="1">
      <c r="A30" s="133" t="s">
        <v>41</v>
      </c>
      <c r="B30" s="65" t="s">
        <v>42</v>
      </c>
      <c r="C30" s="63">
        <f>SUM(Sheet1!C31+Sheet1!C91+Sheet1!C133+Sheet1!C175+Sheet1!C222+Sheet1!C269+Sheet1!C309+Sheet1!C350)</f>
        <v>424000</v>
      </c>
      <c r="D30" s="63">
        <f>SUM(Sheet1!D31+Sheet1!D91+Sheet1!D133+Sheet1!D175+Sheet1!D222+Sheet1!D269+Sheet1!D309+Sheet1!D350)</f>
        <v>15881.23</v>
      </c>
      <c r="E30" s="63">
        <f>SUM(Sheet1!E31+Sheet1!E91+Sheet1!E133+Sheet1!E175+Sheet1!E222+Sheet1!E269+Sheet1!E309+Sheet1!E350)</f>
        <v>424000</v>
      </c>
      <c r="F30" s="73">
        <f t="shared" si="0"/>
        <v>0</v>
      </c>
      <c r="G30" s="127"/>
      <c r="H30" s="106"/>
      <c r="I30" s="4"/>
      <c r="J30" s="4"/>
      <c r="K30" s="4"/>
      <c r="L30" s="4"/>
      <c r="M30" s="4"/>
      <c r="N30" s="14"/>
      <c r="O30" s="4"/>
      <c r="P30" s="28"/>
      <c r="Q30" s="28"/>
      <c r="R30" s="28"/>
      <c r="S30" s="28"/>
    </row>
    <row r="31" spans="1:19" s="22" customFormat="1" ht="12.75" customHeight="1">
      <c r="A31" s="133" t="s">
        <v>125</v>
      </c>
      <c r="B31" s="65">
        <v>749</v>
      </c>
      <c r="C31" s="63"/>
      <c r="D31" s="63">
        <f>SUM(Sheet1!D32)</f>
        <v>0</v>
      </c>
      <c r="E31" s="63">
        <f>SUM(Sheet1!E32)</f>
        <v>0</v>
      </c>
      <c r="F31" s="73">
        <f t="shared" si="0"/>
        <v>0</v>
      </c>
      <c r="G31" s="127"/>
      <c r="H31" s="106"/>
      <c r="I31" s="4"/>
      <c r="J31" s="4"/>
      <c r="K31" s="4"/>
      <c r="L31" s="4"/>
      <c r="M31" s="4"/>
      <c r="N31" s="14"/>
      <c r="O31" s="4"/>
      <c r="P31" s="28"/>
      <c r="Q31" s="28"/>
      <c r="R31" s="28"/>
      <c r="S31" s="28"/>
    </row>
    <row r="32" spans="1:19" s="22" customFormat="1" ht="12.75" customHeight="1">
      <c r="A32" s="133" t="s">
        <v>39</v>
      </c>
      <c r="B32" s="65">
        <v>749</v>
      </c>
      <c r="C32" s="63">
        <f>SUM(Sheet1!C30+Sheet1!C219)</f>
        <v>2102888</v>
      </c>
      <c r="D32" s="63">
        <f>SUM(Sheet1!D33)</f>
        <v>0</v>
      </c>
      <c r="E32" s="63">
        <f>SUM(Sheet1!E30+Sheet1!E219)</f>
        <v>2102888</v>
      </c>
      <c r="F32" s="73">
        <f t="shared" si="0"/>
        <v>0</v>
      </c>
      <c r="G32" s="127"/>
      <c r="H32" s="106"/>
      <c r="I32" s="4"/>
      <c r="J32" s="4"/>
      <c r="K32" s="4"/>
      <c r="L32" s="4"/>
      <c r="M32" s="4"/>
      <c r="N32" s="14"/>
      <c r="O32" s="4"/>
      <c r="P32" s="28"/>
      <c r="Q32" s="28"/>
      <c r="R32" s="28"/>
      <c r="S32" s="28"/>
    </row>
    <row r="33" spans="1:19" s="22" customFormat="1" ht="12.75" customHeight="1">
      <c r="A33" s="133" t="s">
        <v>118</v>
      </c>
      <c r="B33" s="65">
        <v>721</v>
      </c>
      <c r="C33" s="63">
        <f>SUM(Sheet1!C170+Sheet1!C86+Sheet1!C255)</f>
        <v>0</v>
      </c>
      <c r="D33" s="63">
        <f>SUM(Sheet1!D170+Sheet1!D86+Sheet1!D255)</f>
        <v>38333.15</v>
      </c>
      <c r="E33" s="63">
        <f>SUM(Sheet1!E170+Sheet1!E86+Sheet1!E255)</f>
        <v>0</v>
      </c>
      <c r="F33" s="73">
        <f t="shared" si="0"/>
        <v>0</v>
      </c>
      <c r="G33" s="127"/>
      <c r="H33" s="106"/>
      <c r="I33" s="4"/>
      <c r="J33" s="4"/>
      <c r="K33" s="4"/>
      <c r="L33" s="4"/>
      <c r="M33" s="4"/>
      <c r="N33" s="14"/>
      <c r="O33" s="4"/>
      <c r="P33" s="28"/>
      <c r="Q33" s="28"/>
      <c r="R33" s="28"/>
      <c r="S33" s="28"/>
    </row>
    <row r="34" spans="1:19" s="22" customFormat="1" ht="12.75" customHeight="1">
      <c r="A34" s="133" t="s">
        <v>126</v>
      </c>
      <c r="B34" s="65">
        <v>749</v>
      </c>
      <c r="C34" s="63">
        <f>SUM(Sheet1!C34+Sheet1!C88+Sheet1!C130+Sheet1!C172+Sheet1!C220+Sheet1!C265+Sheet1!C306+Sheet1!C347)</f>
        <v>3550000</v>
      </c>
      <c r="D34" s="63">
        <f>SUM(Sheet1!D34+Sheet1!D88+Sheet1!D130+Sheet1!D172+Sheet1!D220+Sheet1!D265+Sheet1!D306+Sheet1!D347)</f>
        <v>3359000</v>
      </c>
      <c r="E34" s="63">
        <f>SUM(Sheet1!E34+Sheet1!E88+Sheet1!E130+Sheet1!E172+Sheet1!E220+Sheet1!E265+Sheet1!E306+Sheet1!E347)</f>
        <v>3550000</v>
      </c>
      <c r="F34" s="73">
        <f t="shared" si="0"/>
        <v>0</v>
      </c>
      <c r="G34" s="127"/>
      <c r="H34" s="106"/>
      <c r="I34" s="4"/>
      <c r="J34" s="4"/>
      <c r="K34" s="4"/>
      <c r="L34" s="4"/>
      <c r="M34" s="4"/>
      <c r="N34" s="14"/>
      <c r="O34" s="4"/>
      <c r="P34" s="28"/>
      <c r="Q34" s="28"/>
      <c r="R34" s="28"/>
      <c r="S34" s="28"/>
    </row>
    <row r="35" spans="1:19" s="22" customFormat="1" ht="12.75" customHeight="1">
      <c r="A35" s="133" t="s">
        <v>162</v>
      </c>
      <c r="B35" s="67">
        <v>749</v>
      </c>
      <c r="C35" s="63">
        <f>SUM(Sheet1!C221)</f>
        <v>0</v>
      </c>
      <c r="D35" s="63">
        <f>SUM(Sheet1!D35+Sheet1!D89+Sheet1!D131+Sheet1!D173+Sheet1!D221+Sheet1!D266+Sheet1!D307+Sheet1!D348)</f>
        <v>943390.63</v>
      </c>
      <c r="E35" s="63">
        <f>SUM(Sheet1!E35+Sheet1!E89+Sheet1!E131+Sheet1!E173+Sheet1!E221+Sheet1!E266+Sheet1!E307+Sheet1!E348)</f>
        <v>0</v>
      </c>
      <c r="F35" s="73">
        <f t="shared" si="0"/>
        <v>0</v>
      </c>
      <c r="G35" s="140"/>
      <c r="H35" s="106"/>
      <c r="I35" s="4"/>
      <c r="J35" s="4"/>
      <c r="K35" s="4"/>
      <c r="L35" s="4"/>
      <c r="M35" s="4"/>
      <c r="N35" s="14"/>
      <c r="O35" s="4"/>
      <c r="P35" s="28"/>
      <c r="Q35" s="28"/>
      <c r="R35" s="28"/>
      <c r="S35" s="28"/>
    </row>
    <row r="36" spans="1:19" s="22" customFormat="1" ht="12.75" customHeight="1">
      <c r="A36" s="214" t="s">
        <v>158</v>
      </c>
      <c r="B36" s="67">
        <v>749</v>
      </c>
      <c r="C36" s="73"/>
      <c r="D36" s="73">
        <f>SUM(Sheet1!D36+Sheet1!D90+Sheet1!D132+Sheet1!D174+Sheet1!D308+Sheet1!D349+Sheet1!D268+Sheet1!D223)</f>
        <v>0</v>
      </c>
      <c r="E36" s="73">
        <f>SUM(Sheet1!E36+Sheet1!E90+Sheet1!E132+Sheet1!E174+Sheet1!E308+Sheet1!E349+Sheet1!E268+Sheet1!E223)</f>
        <v>0</v>
      </c>
      <c r="F36" s="73">
        <f t="shared" si="0"/>
        <v>0</v>
      </c>
      <c r="G36" s="140"/>
      <c r="H36" s="106"/>
      <c r="I36" s="4"/>
      <c r="J36" s="4"/>
      <c r="K36" s="4"/>
      <c r="L36" s="4"/>
      <c r="M36" s="4"/>
      <c r="N36" s="14"/>
      <c r="O36" s="4"/>
      <c r="P36" s="28"/>
      <c r="Q36" s="28"/>
      <c r="R36" s="28"/>
      <c r="S36" s="28"/>
    </row>
    <row r="37" spans="1:19" s="22" customFormat="1" ht="12.75" customHeight="1" thickBot="1">
      <c r="A37" s="152" t="s">
        <v>119</v>
      </c>
      <c r="B37" s="187">
        <v>749</v>
      </c>
      <c r="C37" s="91"/>
      <c r="D37" s="91">
        <f>SUM(Sheet1!D37+Sheet1!D87+Sheet1!D129+Sheet1!D171+Sheet1!D224+Sheet1!D267+Sheet1!D305+Sheet1!D346)</f>
        <v>0</v>
      </c>
      <c r="E37" s="91">
        <f>SUM(Sheet1!E37+Sheet1!E87+Sheet1!E129+Sheet1!E171+Sheet1!E224+Sheet1!E267+Sheet1!E305+Sheet1!E346)</f>
        <v>0</v>
      </c>
      <c r="F37" s="73">
        <f t="shared" si="0"/>
        <v>0</v>
      </c>
      <c r="G37" s="166"/>
      <c r="H37" s="106"/>
      <c r="I37" s="4"/>
      <c r="J37" s="4"/>
      <c r="K37" s="4"/>
      <c r="L37" s="4"/>
      <c r="M37" s="4"/>
      <c r="N37" s="14"/>
      <c r="O37" s="4"/>
      <c r="P37" s="28"/>
      <c r="Q37" s="28"/>
      <c r="R37" s="28"/>
      <c r="S37" s="28"/>
    </row>
    <row r="38" spans="1:19" s="22" customFormat="1" ht="13.5" thickBot="1">
      <c r="A38" s="154" t="s">
        <v>80</v>
      </c>
      <c r="B38" s="186"/>
      <c r="C38" s="112">
        <f>SUM(C10:C37)</f>
        <v>299659364</v>
      </c>
      <c r="D38" s="112">
        <f>SUM(D10:D37)</f>
        <v>35914291.79000001</v>
      </c>
      <c r="E38" s="113">
        <f>SUM(E10:E37)</f>
        <v>297608826.45</v>
      </c>
      <c r="F38" s="112">
        <f>SUM(F10:F37)</f>
        <v>2050537.5500000082</v>
      </c>
      <c r="G38" s="215"/>
      <c r="H38" s="106"/>
      <c r="I38" s="106"/>
      <c r="J38" s="106"/>
      <c r="K38" s="106"/>
      <c r="L38" s="106"/>
      <c r="M38" s="106"/>
      <c r="N38" s="106"/>
      <c r="O38" s="4"/>
      <c r="P38" s="106"/>
      <c r="Q38" s="106"/>
      <c r="R38" s="106"/>
      <c r="S38" s="106"/>
    </row>
    <row r="39" spans="1:19" s="22" customFormat="1" ht="12.75">
      <c r="A39" s="158" t="s">
        <v>79</v>
      </c>
      <c r="B39" s="17"/>
      <c r="C39" s="84"/>
      <c r="D39" s="70"/>
      <c r="E39" s="114"/>
      <c r="F39" s="70"/>
      <c r="G39" s="159"/>
      <c r="H39" s="106"/>
      <c r="I39" s="4"/>
      <c r="J39" s="4"/>
      <c r="K39" s="4"/>
      <c r="L39" s="4"/>
      <c r="M39" s="4"/>
      <c r="N39" s="14"/>
      <c r="O39" s="4"/>
      <c r="P39" s="28"/>
      <c r="Q39" s="28"/>
      <c r="R39" s="28"/>
      <c r="S39" s="28"/>
    </row>
    <row r="40" spans="1:19" s="22" customFormat="1" ht="12.75">
      <c r="A40" s="156" t="s">
        <v>44</v>
      </c>
      <c r="B40" s="54">
        <v>751</v>
      </c>
      <c r="C40" s="78">
        <f>SUM(Sheet1!C41+Sheet1!C95+Sheet1!C137+Sheet1!C179+Sheet1!C228+Sheet1!C273+Sheet1!C313+Sheet1!C353)</f>
        <v>1388000</v>
      </c>
      <c r="D40" s="78">
        <f>SUM(Sheet1!D41+Sheet1!D95+Sheet1!D137+Sheet1!D179+Sheet1!D228+Sheet1!D273+Sheet1!D313+Sheet1!D353)</f>
        <v>93188.93</v>
      </c>
      <c r="E40" s="78">
        <f>SUM(Sheet1!E41+Sheet1!E95+Sheet1!E137+Sheet1!E179+Sheet1!E228+Sheet1!E273+Sheet1!E313+Sheet1!E353)</f>
        <v>1388000</v>
      </c>
      <c r="F40" s="58">
        <f aca="true" t="shared" si="1" ref="F40:F53">SUM(C40-E40)</f>
        <v>0</v>
      </c>
      <c r="G40" s="127"/>
      <c r="H40" s="106"/>
      <c r="I40" s="4"/>
      <c r="J40" s="4"/>
      <c r="K40" s="4"/>
      <c r="L40" s="4"/>
      <c r="M40" s="4"/>
      <c r="N40" s="14"/>
      <c r="O40" s="4"/>
      <c r="P40" s="28"/>
      <c r="Q40" s="28"/>
      <c r="R40" s="28"/>
      <c r="S40" s="28"/>
    </row>
    <row r="41" spans="1:19" s="22" customFormat="1" ht="12.75">
      <c r="A41" s="156" t="s">
        <v>110</v>
      </c>
      <c r="B41" s="54">
        <v>754</v>
      </c>
      <c r="C41" s="78">
        <f>SUM(Sheet1!C42+Sheet1!C180+Sheet1!C229)</f>
        <v>925000</v>
      </c>
      <c r="D41" s="78">
        <f>SUM(Sheet1!D42+Sheet1!D180+Sheet1!D229)</f>
        <v>100000</v>
      </c>
      <c r="E41" s="78">
        <f>SUM(Sheet1!E42+Sheet1!E180+Sheet1!E229)</f>
        <v>925000</v>
      </c>
      <c r="F41" s="58">
        <f t="shared" si="1"/>
        <v>0</v>
      </c>
      <c r="G41" s="127"/>
      <c r="H41" s="106"/>
      <c r="I41" s="4"/>
      <c r="J41" s="4"/>
      <c r="K41" s="4"/>
      <c r="L41" s="4"/>
      <c r="M41" s="4"/>
      <c r="N41" s="14"/>
      <c r="O41" s="4"/>
      <c r="P41" s="28"/>
      <c r="Q41" s="28"/>
      <c r="R41" s="28"/>
      <c r="S41" s="28"/>
    </row>
    <row r="42" spans="1:19" s="22" customFormat="1" ht="12.75">
      <c r="A42" s="156" t="s">
        <v>45</v>
      </c>
      <c r="B42" s="54">
        <v>772</v>
      </c>
      <c r="C42" s="78">
        <f>SUM(Sheet1!C43+Sheet1!C96+Sheet1!C138+Sheet1!C181+Sheet1!C230+Sheet1!C274+Sheet1!C314+Sheet1!C354)</f>
        <v>699000</v>
      </c>
      <c r="D42" s="78">
        <f>SUM(Sheet1!D43+Sheet1!D96+Sheet1!D138+Sheet1!D181+Sheet1!D230+Sheet1!D274+Sheet1!D314+Sheet1!D354)</f>
        <v>1307.62</v>
      </c>
      <c r="E42" s="78">
        <f>SUM(Sheet1!E43+Sheet1!E96+Sheet1!E138+Sheet1!E181+Sheet1!E230+Sheet1!E274+Sheet1!E314+Sheet1!E354)</f>
        <v>699000</v>
      </c>
      <c r="F42" s="58">
        <f t="shared" si="1"/>
        <v>0</v>
      </c>
      <c r="G42" s="160"/>
      <c r="H42" s="106"/>
      <c r="I42" s="4"/>
      <c r="J42" s="4"/>
      <c r="K42" s="4"/>
      <c r="L42" s="4"/>
      <c r="M42" s="4"/>
      <c r="N42" s="14"/>
      <c r="O42" s="4"/>
      <c r="P42" s="28"/>
      <c r="Q42" s="28"/>
      <c r="R42" s="28"/>
      <c r="S42" s="28"/>
    </row>
    <row r="43" spans="1:19" s="22" customFormat="1" ht="12.75">
      <c r="A43" s="156" t="s">
        <v>62</v>
      </c>
      <c r="B43" s="54">
        <v>812</v>
      </c>
      <c r="C43" s="78">
        <f>SUM(Sheet1!C44+Sheet1!C97+Sheet1!C139+Sheet1!C182+Sheet1!C231+Sheet1!C275+Sheet1!C315+Sheet1!C355)</f>
        <v>5854000</v>
      </c>
      <c r="D43" s="78">
        <f>SUM(Sheet1!D44+Sheet1!D97+Sheet1!D139+Sheet1!D182+Sheet1!D231+Sheet1!D275+Sheet1!D315+Sheet1!D355)</f>
        <v>499844</v>
      </c>
      <c r="E43" s="78">
        <f>SUM(Sheet1!E44+Sheet1!E97+Sheet1!E139+Sheet1!E182+Sheet1!E231+Sheet1!E275+Sheet1!E315+Sheet1!E355)</f>
        <v>5854000</v>
      </c>
      <c r="F43" s="58">
        <f t="shared" si="1"/>
        <v>0</v>
      </c>
      <c r="G43" s="160"/>
      <c r="H43" s="106"/>
      <c r="I43" s="4"/>
      <c r="J43" s="4"/>
      <c r="K43" s="4"/>
      <c r="L43" s="4"/>
      <c r="M43" s="4"/>
      <c r="N43" s="14"/>
      <c r="O43" s="4"/>
      <c r="P43" s="28"/>
      <c r="Q43" s="28"/>
      <c r="R43" s="28"/>
      <c r="S43" s="28"/>
    </row>
    <row r="44" spans="1:19" s="22" customFormat="1" ht="12.75">
      <c r="A44" s="156" t="s">
        <v>46</v>
      </c>
      <c r="B44" s="54">
        <v>784</v>
      </c>
      <c r="C44" s="216">
        <f>SUM(Sheet1!C45+Sheet1!C232)</f>
        <v>47000</v>
      </c>
      <c r="D44" s="216">
        <f>SUM(Sheet1!D45+Sheet1!D232)</f>
        <v>0</v>
      </c>
      <c r="E44" s="216">
        <f>SUM(Sheet1!E45+Sheet1!E232+Sheet1!E99)</f>
        <v>47000</v>
      </c>
      <c r="F44" s="58">
        <f t="shared" si="1"/>
        <v>0</v>
      </c>
      <c r="G44" s="160"/>
      <c r="H44" s="106"/>
      <c r="I44" s="4"/>
      <c r="J44" s="4"/>
      <c r="K44" s="4"/>
      <c r="L44" s="4"/>
      <c r="M44" s="4"/>
      <c r="N44" s="14"/>
      <c r="O44" s="4"/>
      <c r="P44" s="28"/>
      <c r="Q44" s="28"/>
      <c r="R44" s="28"/>
      <c r="S44" s="28"/>
    </row>
    <row r="45" spans="1:19" s="22" customFormat="1" ht="12.75">
      <c r="A45" s="156" t="s">
        <v>47</v>
      </c>
      <c r="B45" s="54">
        <v>755</v>
      </c>
      <c r="C45" s="78">
        <f>SUM(Sheet1!C46+Sheet1!C98+Sheet1!C140+Sheet1!C183+Sheet1!C233+Sheet1!C276+Sheet1!C316+Sheet1!C356)</f>
        <v>7377000</v>
      </c>
      <c r="D45" s="78">
        <f>SUM(Sheet1!D46+Sheet1!D98+Sheet1!D140+Sheet1!D183+Sheet1!D233+Sheet1!D276+Sheet1!D316+Sheet1!D356)</f>
        <v>632930.61</v>
      </c>
      <c r="E45" s="78">
        <f>SUM(Sheet1!E46+Sheet1!E98+Sheet1!E140+Sheet1!E183+Sheet1!E233+Sheet1!E276+Sheet1!E316+Sheet1!E356)</f>
        <v>7377000</v>
      </c>
      <c r="F45" s="58">
        <f t="shared" si="1"/>
        <v>0</v>
      </c>
      <c r="G45" s="127"/>
      <c r="H45" s="106"/>
      <c r="I45" s="4"/>
      <c r="J45" s="4"/>
      <c r="K45" s="4"/>
      <c r="L45" s="4"/>
      <c r="M45" s="4"/>
      <c r="N45" s="14"/>
      <c r="O45" s="4"/>
      <c r="P45" s="28"/>
      <c r="Q45" s="28"/>
      <c r="R45" s="28"/>
      <c r="S45" s="28"/>
    </row>
    <row r="46" spans="1:19" s="22" customFormat="1" ht="12.75">
      <c r="A46" s="156" t="s">
        <v>59</v>
      </c>
      <c r="B46" s="54">
        <v>781</v>
      </c>
      <c r="C46" s="78">
        <f>SUM(Sheet1!C47+Sheet1!C100+Sheet1!C141+Sheet1!C184+Sheet1!C234+Sheet1!C277+Sheet1!C319+Sheet1!C357)</f>
        <v>1300000</v>
      </c>
      <c r="D46" s="78">
        <f>SUM(Sheet1!D47+Sheet1!D100+Sheet1!D141+Sheet1!D184+Sheet1!D234+Sheet1!D277+Sheet1!D319+Sheet1!D357)</f>
        <v>14212.5</v>
      </c>
      <c r="E46" s="78">
        <f>SUM(Sheet1!E47+Sheet1!E100+Sheet1!E141+Sheet1!E184+Sheet1!E234+Sheet1!E277+Sheet1!E319+Sheet1!E357)</f>
        <v>1295569</v>
      </c>
      <c r="F46" s="58">
        <f t="shared" si="1"/>
        <v>4431</v>
      </c>
      <c r="G46" s="127"/>
      <c r="H46" s="106"/>
      <c r="I46" s="4"/>
      <c r="J46" s="4"/>
      <c r="K46" s="4"/>
      <c r="L46" s="4"/>
      <c r="M46" s="4"/>
      <c r="N46" s="14"/>
      <c r="O46" s="4"/>
      <c r="P46" s="28"/>
      <c r="Q46" s="28"/>
      <c r="R46" s="28"/>
      <c r="S46" s="28"/>
    </row>
    <row r="47" spans="1:19" s="22" customFormat="1" ht="12.75">
      <c r="A47" s="156" t="s">
        <v>48</v>
      </c>
      <c r="B47" s="54">
        <v>782</v>
      </c>
      <c r="C47" s="78">
        <f>SUM(Sheet1!C48)</f>
        <v>196000</v>
      </c>
      <c r="D47" s="78">
        <f>SUM(Sheet1!D48)</f>
        <v>0</v>
      </c>
      <c r="E47" s="78">
        <f>SUM(Sheet1!E48)</f>
        <v>196000</v>
      </c>
      <c r="F47" s="58">
        <f t="shared" si="1"/>
        <v>0</v>
      </c>
      <c r="G47" s="127"/>
      <c r="H47" s="106"/>
      <c r="I47" s="4"/>
      <c r="J47" s="4"/>
      <c r="K47" s="4"/>
      <c r="L47" s="4"/>
      <c r="M47" s="4"/>
      <c r="N47" s="14"/>
      <c r="O47" s="4"/>
      <c r="P47" s="28"/>
      <c r="Q47" s="28"/>
      <c r="R47" s="28"/>
      <c r="S47" s="28"/>
    </row>
    <row r="48" spans="1:19" s="22" customFormat="1" ht="12.75">
      <c r="A48" s="156" t="s">
        <v>60</v>
      </c>
      <c r="B48" s="54">
        <v>778</v>
      </c>
      <c r="C48" s="78">
        <f>SUM(Sheet1!C49+Sheet1!C143+Sheet1!C185+Sheet1!C320)</f>
        <v>860000</v>
      </c>
      <c r="D48" s="78">
        <f>SUM(Sheet1!D49+Sheet1!D143+Sheet1!D185+Sheet1!D320)</f>
        <v>0</v>
      </c>
      <c r="E48" s="78">
        <f>SUM(Sheet1!E49+Sheet1!E143+Sheet1!E185+Sheet1!E320)</f>
        <v>860000</v>
      </c>
      <c r="F48" s="58">
        <f t="shared" si="1"/>
        <v>0</v>
      </c>
      <c r="G48" s="127"/>
      <c r="H48" s="106"/>
      <c r="I48" s="4"/>
      <c r="J48" s="4"/>
      <c r="K48" s="4"/>
      <c r="L48" s="4"/>
      <c r="M48" s="4"/>
      <c r="N48" s="14"/>
      <c r="O48" s="4"/>
      <c r="P48" s="28"/>
      <c r="Q48" s="28"/>
      <c r="R48" s="28"/>
      <c r="S48" s="28"/>
    </row>
    <row r="49" spans="1:19" s="22" customFormat="1" ht="12.75">
      <c r="A49" s="156" t="s">
        <v>49</v>
      </c>
      <c r="B49" s="54">
        <v>767</v>
      </c>
      <c r="C49" s="78">
        <f>SUM(Sheet1!C50+Sheet1!C101+Sheet1!C186+Sheet1!C235+Sheet1!C278+Sheet1!C317)</f>
        <v>4905000</v>
      </c>
      <c r="D49" s="78">
        <f>SUM(Sheet1!D50+Sheet1!D101+Sheet1!D186+Sheet1!D235+Sheet1!D278+Sheet1!D317)</f>
        <v>15566.48</v>
      </c>
      <c r="E49" s="78">
        <f>SUM(Sheet1!E50+Sheet1!E101+Sheet1!E186+Sheet1!E235+Sheet1!E278+Sheet1!E317)</f>
        <v>4905000</v>
      </c>
      <c r="F49" s="58">
        <f t="shared" si="1"/>
        <v>0</v>
      </c>
      <c r="G49" s="127"/>
      <c r="H49" s="106"/>
      <c r="I49" s="4"/>
      <c r="J49" s="4"/>
      <c r="K49" s="4"/>
      <c r="L49" s="4"/>
      <c r="M49" s="4"/>
      <c r="N49" s="14"/>
      <c r="O49" s="4"/>
      <c r="P49" s="28"/>
      <c r="Q49" s="28"/>
      <c r="R49" s="28"/>
      <c r="S49" s="28"/>
    </row>
    <row r="50" spans="1:19" s="22" customFormat="1" ht="12.75">
      <c r="A50" s="156" t="s">
        <v>50</v>
      </c>
      <c r="B50" s="54">
        <v>753</v>
      </c>
      <c r="C50" s="78">
        <f>SUM(Sheet1!C51+Sheet1!C102+Sheet1!C187+Sheet1!C236+Sheet1!C280+Sheet1!C321+Sheet1!C358)</f>
        <v>4255000</v>
      </c>
      <c r="D50" s="78">
        <f>SUM(Sheet1!D51+Sheet1!D102+Sheet1!D187+Sheet1!D236+Sheet1!D280+Sheet1!D321+Sheet1!D358)</f>
        <v>0</v>
      </c>
      <c r="E50" s="78">
        <f>SUM(Sheet1!E51+Sheet1!E102+Sheet1!E187+Sheet1!E236+Sheet1!E280+Sheet1!E321+Sheet1!E358)</f>
        <v>4255000</v>
      </c>
      <c r="F50" s="58">
        <f t="shared" si="1"/>
        <v>0</v>
      </c>
      <c r="G50" s="127"/>
      <c r="H50" s="106"/>
      <c r="I50" s="4"/>
      <c r="J50" s="4"/>
      <c r="K50" s="4"/>
      <c r="L50" s="4"/>
      <c r="M50" s="4"/>
      <c r="N50" s="14"/>
      <c r="O50" s="4"/>
      <c r="P50" s="28"/>
      <c r="Q50" s="28"/>
      <c r="R50" s="28"/>
      <c r="S50" s="28"/>
    </row>
    <row r="51" spans="1:19" s="22" customFormat="1" ht="12.75">
      <c r="A51" s="156" t="s">
        <v>51</v>
      </c>
      <c r="B51" s="54">
        <v>783</v>
      </c>
      <c r="C51" s="78">
        <f>SUM(Sheet1!C52)</f>
        <v>162000</v>
      </c>
      <c r="D51" s="78">
        <f>SUM(Sheet1!D52)</f>
        <v>13500</v>
      </c>
      <c r="E51" s="78">
        <f>SUM(Sheet1!E52)</f>
        <v>162000</v>
      </c>
      <c r="F51" s="58">
        <f t="shared" si="1"/>
        <v>0</v>
      </c>
      <c r="G51" s="127"/>
      <c r="H51" s="106"/>
      <c r="I51" s="4"/>
      <c r="J51" s="4"/>
      <c r="K51" s="4"/>
      <c r="L51" s="4"/>
      <c r="M51" s="4"/>
      <c r="N51" s="14"/>
      <c r="O51" s="4"/>
      <c r="P51" s="28"/>
      <c r="Q51" s="28"/>
      <c r="R51" s="28"/>
      <c r="S51" s="28"/>
    </row>
    <row r="52" spans="1:19" s="22" customFormat="1" ht="12.75">
      <c r="A52" s="156" t="s">
        <v>52</v>
      </c>
      <c r="B52" s="54">
        <v>780</v>
      </c>
      <c r="C52" s="78">
        <f>SUM(Sheet1!C53)</f>
        <v>50000</v>
      </c>
      <c r="D52" s="78">
        <f>SUM(Sheet1!D53+Sheet1!D318+Sheet1!D279)</f>
        <v>0</v>
      </c>
      <c r="E52" s="78">
        <f>SUM(Sheet1!E53+Sheet1!E318+Sheet1!E279)</f>
        <v>50000</v>
      </c>
      <c r="F52" s="58">
        <f t="shared" si="1"/>
        <v>0</v>
      </c>
      <c r="G52" s="127"/>
      <c r="H52" s="106"/>
      <c r="I52" s="4"/>
      <c r="J52" s="4"/>
      <c r="K52" s="4"/>
      <c r="L52" s="4"/>
      <c r="M52" s="4"/>
      <c r="N52" s="14"/>
      <c r="O52" s="4"/>
      <c r="P52" s="28"/>
      <c r="Q52" s="28"/>
      <c r="R52" s="28"/>
      <c r="S52" s="28"/>
    </row>
    <row r="53" spans="1:19" s="22" customFormat="1" ht="13.5" thickBot="1">
      <c r="A53" s="156" t="s">
        <v>61</v>
      </c>
      <c r="B53" s="54">
        <v>969</v>
      </c>
      <c r="C53" s="87">
        <f>SUM(Sheet1!C54+Sheet1!C103+Sheet1!C142+Sheet1!C188+Sheet1!C237+Sheet1!C281+Sheet1!C322+Sheet1!C359)</f>
        <v>7873000</v>
      </c>
      <c r="D53" s="87">
        <f>SUM(Sheet1!D54+Sheet1!D103+Sheet1!D142+Sheet1!D188+Sheet1!D237+Sheet1!D281+Sheet1!D322+Sheet1!D359)</f>
        <v>26753</v>
      </c>
      <c r="E53" s="87">
        <f>SUM(Sheet1!E54+Sheet1!E103+Sheet1!E142+Sheet1!E188+Sheet1!E237+Sheet1!E281+Sheet1!E322+Sheet1!E359)</f>
        <v>7873000</v>
      </c>
      <c r="F53" s="58">
        <f t="shared" si="1"/>
        <v>0</v>
      </c>
      <c r="G53" s="127"/>
      <c r="H53" s="106"/>
      <c r="I53" s="4"/>
      <c r="J53" s="4"/>
      <c r="K53" s="4"/>
      <c r="L53" s="4"/>
      <c r="M53" s="4"/>
      <c r="N53" s="14"/>
      <c r="O53" s="4"/>
      <c r="P53" s="28"/>
      <c r="Q53" s="28"/>
      <c r="R53" s="28"/>
      <c r="S53" s="28"/>
    </row>
    <row r="54" spans="1:19" s="22" customFormat="1" ht="13.5" thickBot="1">
      <c r="A54" s="161" t="s">
        <v>80</v>
      </c>
      <c r="B54" s="69"/>
      <c r="C54" s="88">
        <f>SUM(C40:C53)</f>
        <v>35891000</v>
      </c>
      <c r="D54" s="76">
        <f>SUM(D40:D53)</f>
        <v>1397303.1400000001</v>
      </c>
      <c r="E54" s="76">
        <f>SUM(E40:E53)</f>
        <v>35886569</v>
      </c>
      <c r="F54" s="76">
        <f>SUM(C54-E54)</f>
        <v>4431</v>
      </c>
      <c r="G54" s="127"/>
      <c r="H54" s="106"/>
      <c r="I54" s="106"/>
      <c r="J54" s="106"/>
      <c r="K54" s="106"/>
      <c r="L54" s="106"/>
      <c r="M54" s="106"/>
      <c r="N54" s="106"/>
      <c r="O54" s="4"/>
      <c r="P54" s="106"/>
      <c r="Q54" s="106"/>
      <c r="R54" s="106"/>
      <c r="S54" s="106"/>
    </row>
    <row r="55" spans="1:19" s="22" customFormat="1" ht="12.75">
      <c r="A55" s="139" t="s">
        <v>81</v>
      </c>
      <c r="B55" s="67"/>
      <c r="C55" s="73"/>
      <c r="D55" s="89"/>
      <c r="E55" s="73"/>
      <c r="F55" s="73"/>
      <c r="G55" s="127"/>
      <c r="H55" s="106"/>
      <c r="I55" s="4"/>
      <c r="J55" s="4"/>
      <c r="K55" s="4"/>
      <c r="L55" s="4"/>
      <c r="M55" s="4"/>
      <c r="N55" s="14"/>
      <c r="O55" s="4"/>
      <c r="P55" s="28"/>
      <c r="Q55" s="28"/>
      <c r="R55" s="28"/>
      <c r="S55" s="28"/>
    </row>
    <row r="56" spans="1:19" s="22" customFormat="1" ht="12.75">
      <c r="A56" s="162" t="s">
        <v>82</v>
      </c>
      <c r="B56" s="65"/>
      <c r="C56" s="63"/>
      <c r="D56" s="78"/>
      <c r="E56" s="63"/>
      <c r="F56" s="63"/>
      <c r="G56" s="127"/>
      <c r="H56" s="106"/>
      <c r="I56" s="4"/>
      <c r="J56" s="4"/>
      <c r="K56" s="4"/>
      <c r="L56" s="4"/>
      <c r="M56" s="4"/>
      <c r="N56" s="14"/>
      <c r="O56" s="4"/>
      <c r="P56" s="28"/>
      <c r="Q56" s="28"/>
      <c r="R56" s="28"/>
      <c r="S56" s="28"/>
    </row>
    <row r="57" spans="1:19" s="22" customFormat="1" ht="12.75">
      <c r="A57" s="133" t="s">
        <v>107</v>
      </c>
      <c r="B57" s="65"/>
      <c r="C57" s="63"/>
      <c r="D57" s="78"/>
      <c r="E57" s="63"/>
      <c r="F57" s="58">
        <f>SUM(C57-E57)</f>
        <v>0</v>
      </c>
      <c r="G57" s="127"/>
      <c r="H57" s="106"/>
      <c r="I57" s="4"/>
      <c r="J57" s="4"/>
      <c r="K57" s="4"/>
      <c r="L57" s="4"/>
      <c r="M57" s="4"/>
      <c r="N57" s="14"/>
      <c r="O57" s="4"/>
      <c r="P57" s="28"/>
      <c r="Q57" s="28"/>
      <c r="R57" s="28"/>
      <c r="S57" s="28"/>
    </row>
    <row r="58" spans="1:19" s="22" customFormat="1" ht="13.5" thickBot="1">
      <c r="A58" s="134" t="s">
        <v>104</v>
      </c>
      <c r="B58" s="74"/>
      <c r="C58" s="87">
        <f>SUM(Sheet1!C59+Sheet1!C241+Sheet1!C285)</f>
        <v>0</v>
      </c>
      <c r="D58" s="87">
        <f>SUM(Sheet1!D59+Sheet1!D241+Sheet1!D285)</f>
        <v>0</v>
      </c>
      <c r="E58" s="66"/>
      <c r="F58" s="80">
        <f>SUM(C58-E58)</f>
        <v>0</v>
      </c>
      <c r="G58" s="127"/>
      <c r="H58" s="106"/>
      <c r="I58" s="4"/>
      <c r="J58" s="4"/>
      <c r="K58" s="4"/>
      <c r="L58" s="4"/>
      <c r="M58" s="4"/>
      <c r="N58" s="14"/>
      <c r="O58" s="4"/>
      <c r="P58" s="28"/>
      <c r="Q58" s="28"/>
      <c r="R58" s="28"/>
      <c r="S58" s="28"/>
    </row>
    <row r="59" spans="1:19" s="22" customFormat="1" ht="13.5" thickBot="1">
      <c r="A59" s="141" t="s">
        <v>85</v>
      </c>
      <c r="B59" s="75"/>
      <c r="C59" s="76">
        <f>SUM(C56:C58)</f>
        <v>0</v>
      </c>
      <c r="D59" s="90">
        <f>SUM(D57:D58)</f>
        <v>0</v>
      </c>
      <c r="E59" s="90">
        <f>SUM(E57:E58)</f>
        <v>0</v>
      </c>
      <c r="F59" s="90">
        <f>SUM(F57:F58)</f>
        <v>0</v>
      </c>
      <c r="G59" s="127"/>
      <c r="H59" s="106"/>
      <c r="I59" s="4"/>
      <c r="J59" s="4"/>
      <c r="K59" s="4"/>
      <c r="L59" s="4"/>
      <c r="M59" s="4"/>
      <c r="N59" s="14"/>
      <c r="O59" s="4"/>
      <c r="P59" s="28"/>
      <c r="Q59" s="28"/>
      <c r="R59" s="28"/>
      <c r="S59" s="28"/>
    </row>
    <row r="60" spans="1:19" s="22" customFormat="1" ht="13.5" thickBot="1">
      <c r="A60" s="141" t="s">
        <v>86</v>
      </c>
      <c r="B60" s="75"/>
      <c r="C60" s="76">
        <f>SUM(C59+C54+C38)</f>
        <v>335550364</v>
      </c>
      <c r="D60" s="76">
        <f>SUM(D59+D54+D38)</f>
        <v>37311594.93000001</v>
      </c>
      <c r="E60" s="76">
        <f>SUM(E59+E54+E38)</f>
        <v>333495395.45</v>
      </c>
      <c r="F60" s="76">
        <f>SUM(F59+F54+F38)</f>
        <v>2054968.5500000082</v>
      </c>
      <c r="G60" s="120"/>
      <c r="H60" s="106"/>
      <c r="I60" s="106"/>
      <c r="J60" s="106"/>
      <c r="K60" s="106"/>
      <c r="L60" s="106"/>
      <c r="M60" s="106"/>
      <c r="N60" s="106"/>
      <c r="O60" s="4"/>
      <c r="P60" s="106"/>
      <c r="Q60" s="106"/>
      <c r="R60" s="106"/>
      <c r="S60" s="106"/>
    </row>
    <row r="61" spans="1:18" s="22" customFormat="1" ht="12.75">
      <c r="A61" s="169" t="s">
        <v>149</v>
      </c>
      <c r="B61" s="183"/>
      <c r="C61" s="98"/>
      <c r="D61" s="98">
        <f>SUM('[1]Sheet1'!D65)</f>
        <v>0</v>
      </c>
      <c r="E61" s="98"/>
      <c r="F61" s="98"/>
      <c r="G61" s="182"/>
      <c r="H61" s="106"/>
      <c r="I61" s="106"/>
      <c r="J61" s="106"/>
      <c r="K61" s="106"/>
      <c r="L61" s="106"/>
      <c r="M61" s="106"/>
      <c r="N61" s="4"/>
      <c r="O61" s="106"/>
      <c r="P61" s="106"/>
      <c r="Q61" s="106"/>
      <c r="R61" s="106"/>
    </row>
    <row r="62" spans="1:18" s="22" customFormat="1" ht="12.75">
      <c r="A62" s="133" t="s">
        <v>110</v>
      </c>
      <c r="B62" s="65">
        <v>754</v>
      </c>
      <c r="C62" s="63">
        <f>SUM(Sheet1!C195)</f>
        <v>900000</v>
      </c>
      <c r="D62" s="63"/>
      <c r="E62" s="63">
        <f>SUM(Sheet1!E195)</f>
        <v>900000</v>
      </c>
      <c r="F62" s="63">
        <f>SUM(C62-E62)</f>
        <v>0</v>
      </c>
      <c r="G62" s="127"/>
      <c r="H62" s="106"/>
      <c r="I62" s="106"/>
      <c r="J62" s="106"/>
      <c r="K62" s="106"/>
      <c r="L62" s="106"/>
      <c r="M62" s="106"/>
      <c r="N62" s="4"/>
      <c r="O62" s="106"/>
      <c r="P62" s="106"/>
      <c r="Q62" s="106"/>
      <c r="R62" s="106"/>
    </row>
    <row r="63" spans="1:18" s="22" customFormat="1" ht="12.75">
      <c r="A63" s="133" t="s">
        <v>151</v>
      </c>
      <c r="B63" s="65"/>
      <c r="C63" s="63">
        <f>SUM(Sheet1!C64)</f>
        <v>300000</v>
      </c>
      <c r="D63" s="63"/>
      <c r="E63" s="63">
        <f>SUM(Sheet1!E64)</f>
        <v>300000</v>
      </c>
      <c r="F63" s="63"/>
      <c r="G63" s="127"/>
      <c r="H63" s="106"/>
      <c r="I63" s="106"/>
      <c r="J63" s="106"/>
      <c r="K63" s="106"/>
      <c r="L63" s="106"/>
      <c r="M63" s="106"/>
      <c r="N63" s="4"/>
      <c r="O63" s="106"/>
      <c r="P63" s="106"/>
      <c r="Q63" s="106"/>
      <c r="R63" s="106"/>
    </row>
    <row r="64" spans="1:18" s="22" customFormat="1" ht="12.75">
      <c r="A64" s="133" t="s">
        <v>150</v>
      </c>
      <c r="B64" s="65"/>
      <c r="C64" s="63">
        <f>SUM('[1]Sheet1'!C65)</f>
        <v>0</v>
      </c>
      <c r="D64" s="63"/>
      <c r="E64" s="63">
        <f>SUM('[1]Sheet1'!E65)</f>
        <v>0</v>
      </c>
      <c r="F64" s="63">
        <f>SUM(C64-E64)</f>
        <v>0</v>
      </c>
      <c r="G64" s="127"/>
      <c r="H64" s="106"/>
      <c r="I64" s="106"/>
      <c r="J64" s="106"/>
      <c r="K64" s="106"/>
      <c r="L64" s="106"/>
      <c r="M64" s="106"/>
      <c r="N64" s="4"/>
      <c r="O64" s="106"/>
      <c r="P64" s="106"/>
      <c r="Q64" s="106"/>
      <c r="R64" s="106"/>
    </row>
    <row r="65" spans="1:18" s="22" customFormat="1" ht="13.5" thickBot="1">
      <c r="A65" s="134" t="s">
        <v>89</v>
      </c>
      <c r="B65" s="74"/>
      <c r="C65" s="66">
        <f>SUM(C60:C64)</f>
        <v>336750364</v>
      </c>
      <c r="D65" s="66">
        <f>SUM(D60:D64)</f>
        <v>37311594.93000001</v>
      </c>
      <c r="E65" s="66">
        <f>SUM(E60:E64)</f>
        <v>334695395.45</v>
      </c>
      <c r="F65" s="66">
        <f>SUM(F60:F64)</f>
        <v>2054968.5500000082</v>
      </c>
      <c r="G65" s="120"/>
      <c r="H65" s="106"/>
      <c r="I65" s="106"/>
      <c r="J65" s="106"/>
      <c r="K65" s="106"/>
      <c r="L65" s="106"/>
      <c r="M65" s="106"/>
      <c r="N65" s="4"/>
      <c r="O65" s="106"/>
      <c r="P65" s="106"/>
      <c r="Q65" s="106"/>
      <c r="R65" s="106"/>
    </row>
    <row r="66" spans="1:19" s="22" customFormat="1" ht="12.75">
      <c r="A66" s="189" t="s">
        <v>163</v>
      </c>
      <c r="B66" s="8"/>
      <c r="C66" s="14"/>
      <c r="D66" s="14"/>
      <c r="E66" s="14"/>
      <c r="F66" s="14"/>
      <c r="G66" s="14"/>
      <c r="H66" s="106"/>
      <c r="I66" s="106"/>
      <c r="J66" s="106"/>
      <c r="K66" s="106"/>
      <c r="L66" s="106"/>
      <c r="M66" s="106"/>
      <c r="N66" s="106"/>
      <c r="O66" s="4"/>
      <c r="P66" s="106"/>
      <c r="Q66" s="106"/>
      <c r="R66" s="106"/>
      <c r="S66" s="106"/>
    </row>
    <row r="67" spans="1:19" s="22" customFormat="1" ht="12.75">
      <c r="A67" s="15"/>
      <c r="B67" s="8"/>
      <c r="C67" s="14"/>
      <c r="D67" s="14"/>
      <c r="E67" s="14"/>
      <c r="F67" s="14"/>
      <c r="G67" s="14"/>
      <c r="H67" s="106"/>
      <c r="I67" s="106"/>
      <c r="J67" s="106"/>
      <c r="K67" s="106"/>
      <c r="L67" s="106"/>
      <c r="M67" s="106"/>
      <c r="N67" s="106"/>
      <c r="O67" s="4"/>
      <c r="P67" s="106"/>
      <c r="Q67" s="106"/>
      <c r="R67" s="106"/>
      <c r="S67" s="106"/>
    </row>
    <row r="68" spans="1:19" s="22" customFormat="1" ht="12.75">
      <c r="A68" s="15"/>
      <c r="B68" s="8"/>
      <c r="C68" s="14"/>
      <c r="D68" s="14"/>
      <c r="E68" s="14"/>
      <c r="F68" s="14"/>
      <c r="G68" s="14"/>
      <c r="H68" s="106"/>
      <c r="I68" s="106"/>
      <c r="J68" s="106"/>
      <c r="K68" s="106"/>
      <c r="L68" s="106"/>
      <c r="M68" s="106"/>
      <c r="N68" s="106"/>
      <c r="O68" s="4"/>
      <c r="P68" s="106"/>
      <c r="Q68" s="106"/>
      <c r="R68" s="106"/>
      <c r="S68" s="106"/>
    </row>
    <row r="69" spans="1:19" s="22" customFormat="1" ht="12.75">
      <c r="A69" s="28" t="s">
        <v>135</v>
      </c>
      <c r="B69" s="2"/>
      <c r="C69" s="2" t="s">
        <v>115</v>
      </c>
      <c r="D69" s="2"/>
      <c r="E69" s="2"/>
      <c r="F69" s="6" t="s">
        <v>136</v>
      </c>
      <c r="G69" s="50"/>
      <c r="H69" s="2"/>
      <c r="I69" s="4"/>
      <c r="J69" s="6"/>
      <c r="K69" s="50"/>
      <c r="L69" s="50"/>
      <c r="N69" s="14"/>
      <c r="O69" s="28"/>
      <c r="P69" s="28"/>
      <c r="Q69" s="28"/>
      <c r="R69" s="28"/>
      <c r="S69" s="28"/>
    </row>
    <row r="70" spans="1:19" s="22" customFormat="1" ht="12.75">
      <c r="A70" s="28"/>
      <c r="B70" s="52"/>
      <c r="C70" s="52"/>
      <c r="D70" s="2"/>
      <c r="E70" s="2"/>
      <c r="F70" s="6"/>
      <c r="G70" s="50"/>
      <c r="H70" s="2"/>
      <c r="I70" s="4"/>
      <c r="J70" s="6"/>
      <c r="K70" s="50"/>
      <c r="L70" s="50"/>
      <c r="N70" s="14"/>
      <c r="O70" s="28"/>
      <c r="P70" s="28"/>
      <c r="Q70" s="28"/>
      <c r="R70" s="28"/>
      <c r="S70" s="28"/>
    </row>
    <row r="71" spans="1:19" s="22" customFormat="1" ht="12.75">
      <c r="A71" s="53"/>
      <c r="B71" s="52"/>
      <c r="C71" s="52"/>
      <c r="D71" s="2"/>
      <c r="E71" s="2"/>
      <c r="F71" s="14"/>
      <c r="G71" s="51"/>
      <c r="H71" s="2"/>
      <c r="I71" s="14"/>
      <c r="J71" s="14"/>
      <c r="K71" s="51"/>
      <c r="L71" s="51"/>
      <c r="M71" s="27"/>
      <c r="N71" s="14"/>
      <c r="O71" s="28"/>
      <c r="P71" s="28"/>
      <c r="Q71" s="28"/>
      <c r="R71" s="28"/>
      <c r="S71" s="28"/>
    </row>
    <row r="72" spans="1:19" s="22" customFormat="1" ht="15">
      <c r="A72" s="136" t="s">
        <v>137</v>
      </c>
      <c r="B72" s="5"/>
      <c r="C72" s="5" t="s">
        <v>138</v>
      </c>
      <c r="D72" s="137"/>
      <c r="E72" s="5"/>
      <c r="F72" s="138" t="s">
        <v>141</v>
      </c>
      <c r="G72" s="138"/>
      <c r="H72" s="5"/>
      <c r="I72" s="138"/>
      <c r="J72" s="138"/>
      <c r="K72" s="138"/>
      <c r="L72" s="51"/>
      <c r="M72" s="105"/>
      <c r="N72" s="14"/>
      <c r="O72" s="28"/>
      <c r="P72" s="28"/>
      <c r="Q72" s="28"/>
      <c r="R72" s="28"/>
      <c r="S72" s="28"/>
    </row>
    <row r="73" spans="1:19" s="22" customFormat="1" ht="12.75">
      <c r="A73" s="16" t="s">
        <v>139</v>
      </c>
      <c r="B73" s="39"/>
      <c r="C73" s="39" t="s">
        <v>131</v>
      </c>
      <c r="D73" s="135"/>
      <c r="E73" s="2"/>
      <c r="F73" s="6" t="s">
        <v>56</v>
      </c>
      <c r="G73" s="14"/>
      <c r="H73" s="2"/>
      <c r="I73" s="6"/>
      <c r="J73" s="6"/>
      <c r="K73" s="14"/>
      <c r="L73" s="51"/>
      <c r="M73" s="18"/>
      <c r="N73" s="14"/>
      <c r="O73" s="28"/>
      <c r="P73" s="28"/>
      <c r="Q73" s="28"/>
      <c r="R73" s="28"/>
      <c r="S73" s="28"/>
    </row>
  </sheetData>
  <sheetProtection/>
  <mergeCells count="2">
    <mergeCell ref="A2:G2"/>
    <mergeCell ref="A1:G1"/>
  </mergeCells>
  <printOptions/>
  <pageMargins left="1.25" right="0.25" top="1" bottom="1.5" header="0" footer="1"/>
  <pageSetup fitToHeight="0" horizontalDpi="600" verticalDpi="600" orientation="landscape" paperSize="5" r:id="rId1"/>
  <headerFooter>
    <oddFooter>&amp;LCopy of SAOB-DECEMBER, 2012&amp;CPage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9:AU167"/>
  <sheetViews>
    <sheetView zoomScalePageLayoutView="0" workbookViewId="0" topLeftCell="A1">
      <selection activeCell="L34" sqref="L34"/>
    </sheetView>
  </sheetViews>
  <sheetFormatPr defaultColWidth="9.00390625" defaultRowHeight="12.75"/>
  <cols>
    <col min="1" max="1" width="28.140625" style="1" customWidth="1"/>
    <col min="2" max="2" width="8.7109375" style="1" customWidth="1"/>
    <col min="3" max="3" width="17.140625" style="1" customWidth="1"/>
    <col min="4" max="4" width="18.28125" style="1" customWidth="1"/>
    <col min="5" max="5" width="15.8515625" style="1" customWidth="1"/>
    <col min="6" max="6" width="18.57421875" style="1" customWidth="1"/>
    <col min="7" max="13" width="13.140625" style="1" customWidth="1"/>
    <col min="14" max="16384" width="9.00390625" style="1" customWidth="1"/>
  </cols>
  <sheetData>
    <row r="4" s="22" customFormat="1" ht="12.75"/>
    <row r="5" s="22" customFormat="1" ht="12.75"/>
    <row r="6" s="22" customFormat="1" ht="12.75"/>
    <row r="7" s="22" customFormat="1" ht="12.75"/>
    <row r="8" s="22" customFormat="1" ht="12.75"/>
    <row r="9" spans="1:12" s="22" customFormat="1" ht="15.75" customHeight="1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22" customFormat="1" ht="15" customHeight="1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s="22" customFormat="1" ht="15" customHeight="1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="22" customFormat="1" ht="16.5" customHeight="1"/>
    <row r="13" s="22" customFormat="1" ht="16.5" customHeight="1"/>
    <row r="14" spans="1:29" s="7" customFormat="1" ht="15" customHeight="1">
      <c r="A14" s="14"/>
      <c r="B14" s="14"/>
      <c r="C14" s="14"/>
      <c r="D14" s="14"/>
      <c r="E14" s="14"/>
      <c r="F14" s="14"/>
      <c r="G14" s="14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s="7" customFormat="1" ht="18" customHeight="1">
      <c r="A15" s="25"/>
      <c r="B15" s="25"/>
      <c r="C15" s="25"/>
      <c r="D15" s="25"/>
      <c r="E15" s="25"/>
      <c r="F15" s="25"/>
      <c r="G15" s="14"/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7" customFormat="1" ht="17.25" customHeight="1">
      <c r="A16" s="18"/>
      <c r="B16" s="18"/>
      <c r="C16" s="18"/>
      <c r="D16" s="18"/>
      <c r="E16" s="18"/>
      <c r="F16" s="18"/>
      <c r="G16" s="14"/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7" customFormat="1" ht="17.25" customHeight="1">
      <c r="A17" s="18"/>
      <c r="B17" s="18"/>
      <c r="C17" s="18"/>
      <c r="D17" s="18"/>
      <c r="E17" s="18"/>
      <c r="F17" s="18"/>
      <c r="G17" s="14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7" customFormat="1" ht="12.75" customHeight="1">
      <c r="A18" s="18"/>
      <c r="B18" s="18"/>
      <c r="C18" s="18"/>
      <c r="D18" s="18"/>
      <c r="E18" s="18"/>
      <c r="F18" s="18"/>
      <c r="G18" s="14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7" customFormat="1" ht="12.75" customHeight="1">
      <c r="A19" s="18"/>
      <c r="B19" s="18"/>
      <c r="C19" s="18"/>
      <c r="D19" s="18"/>
      <c r="E19" s="18"/>
      <c r="F19" s="18"/>
      <c r="G19" s="14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7" customFormat="1" ht="12.75" customHeight="1">
      <c r="A20" s="18"/>
      <c r="B20" s="18"/>
      <c r="C20" s="18"/>
      <c r="D20" s="18"/>
      <c r="E20" s="18"/>
      <c r="F20" s="18"/>
      <c r="G20" s="14"/>
      <c r="H20" s="1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7" customFormat="1" ht="12.75" customHeight="1">
      <c r="A21" s="18"/>
      <c r="B21" s="18"/>
      <c r="C21" s="18"/>
      <c r="D21" s="18"/>
      <c r="E21" s="18"/>
      <c r="F21" s="18"/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7" customFormat="1" ht="12.75" customHeight="1">
      <c r="A22" s="18"/>
      <c r="B22" s="18"/>
      <c r="C22" s="18"/>
      <c r="D22" s="18"/>
      <c r="E22" s="18"/>
      <c r="F22" s="18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7" customFormat="1" ht="12.75" customHeight="1">
      <c r="A23" s="18"/>
      <c r="B23" s="18"/>
      <c r="C23" s="18"/>
      <c r="D23" s="18"/>
      <c r="E23" s="18"/>
      <c r="F23" s="18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7" customFormat="1" ht="12.75" customHeight="1">
      <c r="A24" s="18"/>
      <c r="B24" s="18"/>
      <c r="C24" s="18"/>
      <c r="D24" s="18"/>
      <c r="E24" s="18"/>
      <c r="F24" s="18"/>
      <c r="G24" s="14"/>
      <c r="H24" s="1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7" customFormat="1" ht="12.75" customHeight="1">
      <c r="A25" s="18"/>
      <c r="B25" s="18"/>
      <c r="C25" s="18"/>
      <c r="D25" s="18"/>
      <c r="E25" s="18"/>
      <c r="F25" s="18"/>
      <c r="G25" s="14"/>
      <c r="H25" s="1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7" customFormat="1" ht="12.75" customHeight="1">
      <c r="A26" s="18"/>
      <c r="B26" s="18"/>
      <c r="C26" s="18"/>
      <c r="D26" s="18"/>
      <c r="E26" s="18"/>
      <c r="F26" s="18"/>
      <c r="G26" s="14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7" customFormat="1" ht="12.75" customHeight="1">
      <c r="A27" s="18"/>
      <c r="B27" s="18"/>
      <c r="C27" s="18"/>
      <c r="D27" s="18"/>
      <c r="E27" s="18"/>
      <c r="F27" s="18"/>
      <c r="G27" s="14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s="7" customFormat="1" ht="12.75" customHeight="1">
      <c r="A28" s="18"/>
      <c r="B28" s="18"/>
      <c r="C28" s="18"/>
      <c r="D28" s="18"/>
      <c r="E28" s="18"/>
      <c r="F28" s="18"/>
      <c r="G28" s="14"/>
      <c r="H28" s="14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s="7" customFormat="1" ht="12.75" customHeight="1">
      <c r="A29" s="18"/>
      <c r="B29" s="18"/>
      <c r="C29" s="18"/>
      <c r="D29" s="18"/>
      <c r="E29" s="18"/>
      <c r="F29" s="18"/>
      <c r="G29" s="14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s="7" customFormat="1" ht="12.75" customHeight="1">
      <c r="A30" s="18"/>
      <c r="B30" s="18"/>
      <c r="C30" s="18"/>
      <c r="D30" s="18"/>
      <c r="E30" s="18"/>
      <c r="F30" s="18"/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s="7" customFormat="1" ht="12.75" customHeight="1">
      <c r="A31" s="18"/>
      <c r="B31" s="18"/>
      <c r="C31" s="18"/>
      <c r="D31" s="18"/>
      <c r="E31" s="18"/>
      <c r="F31" s="18"/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s="7" customFormat="1" ht="14.25" customHeight="1">
      <c r="A32" s="18"/>
      <c r="B32" s="18"/>
      <c r="C32" s="18"/>
      <c r="D32" s="18"/>
      <c r="E32" s="18"/>
      <c r="F32" s="18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7" customFormat="1" ht="25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5"/>
      <c r="AB33" s="15"/>
      <c r="AC33" s="15"/>
    </row>
    <row r="34" spans="1:25" s="7" customFormat="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="2" customFormat="1" ht="12.75"/>
    <row r="36" s="2" customFormat="1" ht="12.75"/>
    <row r="37" spans="1:5" s="2" customFormat="1" ht="12.75">
      <c r="A37" s="7"/>
      <c r="B37" s="7"/>
      <c r="E37" s="7"/>
    </row>
    <row r="38" spans="1:5" s="2" customFormat="1" ht="12.75">
      <c r="A38" s="7"/>
      <c r="B38" s="7"/>
      <c r="C38" s="7"/>
      <c r="D38" s="7"/>
      <c r="E38" s="7"/>
    </row>
    <row r="39" spans="1:5" s="2" customFormat="1" ht="12.75">
      <c r="A39" s="7"/>
      <c r="B39" s="7"/>
      <c r="C39" s="7"/>
      <c r="D39" s="7"/>
      <c r="E39" s="7"/>
    </row>
    <row r="40" spans="1:7" s="2" customFormat="1" ht="12.75">
      <c r="A40" s="10"/>
      <c r="B40" s="10"/>
      <c r="C40" s="10"/>
      <c r="D40" s="10"/>
      <c r="E40" s="10"/>
      <c r="F40" s="10"/>
      <c r="G40" s="10"/>
    </row>
    <row r="41" spans="1:7" s="2" customFormat="1" ht="12.75">
      <c r="A41" s="7"/>
      <c r="B41" s="7"/>
      <c r="C41" s="7"/>
      <c r="D41" s="7"/>
      <c r="E41" s="7"/>
      <c r="F41" s="7"/>
      <c r="G41" s="7"/>
    </row>
    <row r="42" spans="1:38" s="7" customFormat="1" ht="13.5" customHeight="1">
      <c r="A42" s="14"/>
      <c r="B42" s="14"/>
      <c r="C42" s="14"/>
      <c r="D42" s="14"/>
      <c r="E42" s="14"/>
      <c r="F42" s="14"/>
      <c r="G42" s="14"/>
      <c r="H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s="7" customFormat="1" ht="13.5" customHeight="1">
      <c r="A43" s="14"/>
      <c r="B43" s="14"/>
      <c r="C43" s="14"/>
      <c r="D43" s="14"/>
      <c r="E43" s="14"/>
      <c r="F43" s="14"/>
      <c r="G43" s="14"/>
      <c r="H43" s="14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s="7" customFormat="1" ht="13.5" customHeight="1">
      <c r="A44" s="14"/>
      <c r="B44" s="14"/>
      <c r="C44" s="14"/>
      <c r="D44" s="14"/>
      <c r="E44" s="14"/>
      <c r="F44" s="14"/>
      <c r="G44" s="14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s="7" customFormat="1" ht="13.5" customHeight="1">
      <c r="A45" s="14"/>
      <c r="B45" s="14"/>
      <c r="C45" s="14"/>
      <c r="D45" s="14"/>
      <c r="E45" s="14"/>
      <c r="F45" s="14"/>
      <c r="G45" s="14"/>
      <c r="H45" s="14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s="7" customFormat="1" ht="13.5" customHeight="1">
      <c r="A46" s="14"/>
      <c r="B46" s="14"/>
      <c r="C46" s="14"/>
      <c r="D46" s="14"/>
      <c r="E46" s="14"/>
      <c r="F46" s="14"/>
      <c r="G46" s="14"/>
      <c r="H46" s="14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s="7" customFormat="1" ht="13.5" customHeight="1">
      <c r="A47" s="14"/>
      <c r="B47" s="14"/>
      <c r="C47" s="14"/>
      <c r="D47" s="14"/>
      <c r="E47" s="14"/>
      <c r="F47" s="14"/>
      <c r="G47" s="14"/>
      <c r="H47" s="14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12" s="22" customFormat="1" ht="12.75">
      <c r="A48" s="21"/>
      <c r="B48" s="14"/>
      <c r="C48" s="14"/>
      <c r="D48" s="14"/>
      <c r="E48" s="14"/>
      <c r="F48" s="14"/>
      <c r="G48" s="14"/>
      <c r="H48" s="28"/>
      <c r="I48" s="28"/>
      <c r="J48" s="28"/>
      <c r="K48" s="28"/>
      <c r="L48" s="28"/>
    </row>
    <row r="49" spans="1:29" s="7" customFormat="1" ht="9" customHeight="1">
      <c r="A49" s="14"/>
      <c r="B49" s="14"/>
      <c r="C49" s="14"/>
      <c r="D49" s="14"/>
      <c r="E49" s="14"/>
      <c r="F49" s="14"/>
      <c r="G49" s="14"/>
      <c r="H49" s="14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s="7" customFormat="1" ht="16.5" customHeight="1">
      <c r="A50" s="14"/>
      <c r="B50" s="14"/>
      <c r="C50" s="14"/>
      <c r="D50" s="14"/>
      <c r="E50" s="14"/>
      <c r="F50" s="14"/>
      <c r="G50" s="14"/>
      <c r="H50" s="14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s="7" customFormat="1" ht="9" customHeight="1">
      <c r="A51" s="14"/>
      <c r="B51" s="14"/>
      <c r="C51" s="14"/>
      <c r="D51" s="14"/>
      <c r="E51" s="14"/>
      <c r="F51" s="14"/>
      <c r="G51" s="14"/>
      <c r="H51" s="14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s="7" customFormat="1" ht="15" customHeight="1">
      <c r="A52" s="14"/>
      <c r="B52" s="14"/>
      <c r="C52" s="14"/>
      <c r="D52" s="14"/>
      <c r="E52" s="14"/>
      <c r="F52" s="14"/>
      <c r="G52" s="14"/>
      <c r="H52" s="1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s="7" customFormat="1" ht="15" customHeight="1">
      <c r="A53" s="14"/>
      <c r="B53" s="14"/>
      <c r="C53" s="14"/>
      <c r="D53" s="14"/>
      <c r="E53" s="14"/>
      <c r="F53" s="14"/>
      <c r="G53" s="14"/>
      <c r="H53" s="14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s="7" customFormat="1" ht="18" customHeight="1">
      <c r="A54" s="25"/>
      <c r="B54" s="25"/>
      <c r="C54" s="25"/>
      <c r="D54" s="25"/>
      <c r="E54" s="25"/>
      <c r="F54" s="25"/>
      <c r="G54" s="14"/>
      <c r="H54" s="14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s="7" customFormat="1" ht="17.25" customHeight="1">
      <c r="A55" s="18"/>
      <c r="B55" s="18"/>
      <c r="C55" s="18"/>
      <c r="D55" s="18"/>
      <c r="E55" s="18"/>
      <c r="F55" s="18"/>
      <c r="G55" s="14"/>
      <c r="H55" s="14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s="7" customFormat="1" ht="17.25" customHeight="1">
      <c r="A56" s="18"/>
      <c r="B56" s="18"/>
      <c r="C56" s="18"/>
      <c r="D56" s="18"/>
      <c r="E56" s="18"/>
      <c r="F56" s="18"/>
      <c r="G56" s="14"/>
      <c r="H56" s="14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s="7" customFormat="1" ht="12.75" customHeight="1">
      <c r="A57" s="18"/>
      <c r="B57" s="18"/>
      <c r="C57" s="18"/>
      <c r="D57" s="18"/>
      <c r="E57" s="18"/>
      <c r="F57" s="18"/>
      <c r="G57" s="14"/>
      <c r="H57" s="14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s="7" customFormat="1" ht="12.75" customHeight="1">
      <c r="A58" s="18"/>
      <c r="B58" s="18"/>
      <c r="C58" s="18"/>
      <c r="D58" s="18"/>
      <c r="E58" s="18"/>
      <c r="F58" s="18"/>
      <c r="G58" s="14"/>
      <c r="H58" s="14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s="7" customFormat="1" ht="12.75" customHeight="1">
      <c r="A59" s="18"/>
      <c r="B59" s="18"/>
      <c r="C59" s="18"/>
      <c r="D59" s="18"/>
      <c r="E59" s="18"/>
      <c r="F59" s="18"/>
      <c r="G59" s="14"/>
      <c r="H59" s="14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s="7" customFormat="1" ht="12.75" customHeight="1">
      <c r="A60" s="18"/>
      <c r="B60" s="18"/>
      <c r="C60" s="18"/>
      <c r="D60" s="18"/>
      <c r="E60" s="18"/>
      <c r="F60" s="18"/>
      <c r="G60" s="14"/>
      <c r="H60" s="14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s="7" customFormat="1" ht="12.75" customHeight="1">
      <c r="A61" s="18"/>
      <c r="B61" s="18"/>
      <c r="C61" s="18"/>
      <c r="D61" s="18"/>
      <c r="E61" s="18"/>
      <c r="F61" s="18"/>
      <c r="G61" s="14"/>
      <c r="H61" s="14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s="7" customFormat="1" ht="12.75" customHeight="1">
      <c r="A62" s="18"/>
      <c r="B62" s="18"/>
      <c r="C62" s="18"/>
      <c r="D62" s="18"/>
      <c r="E62" s="18"/>
      <c r="F62" s="18"/>
      <c r="G62" s="14"/>
      <c r="H62" s="1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s="7" customFormat="1" ht="12.75" customHeight="1">
      <c r="A63" s="18"/>
      <c r="B63" s="18"/>
      <c r="C63" s="18"/>
      <c r="D63" s="18"/>
      <c r="E63" s="18"/>
      <c r="F63" s="18"/>
      <c r="G63" s="14"/>
      <c r="H63" s="14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36" s="7" customFormat="1" ht="14.25" customHeight="1">
      <c r="A64" s="8"/>
      <c r="B64" s="8"/>
      <c r="C64" s="8"/>
      <c r="D64" s="18"/>
      <c r="E64" s="30"/>
      <c r="F64" s="18"/>
      <c r="G64" s="18"/>
      <c r="H64" s="18"/>
      <c r="I64" s="18"/>
      <c r="J64" s="18"/>
      <c r="K64" s="18"/>
      <c r="L64" s="18"/>
      <c r="M64" s="18"/>
      <c r="N64" s="14"/>
      <c r="O64" s="1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s="7" customFormat="1" ht="8.25" customHeight="1">
      <c r="A65" s="8"/>
      <c r="B65" s="8"/>
      <c r="C65" s="8"/>
      <c r="D65" s="18"/>
      <c r="E65" s="30"/>
      <c r="F65" s="18"/>
      <c r="G65" s="18"/>
      <c r="H65" s="18"/>
      <c r="I65" s="18"/>
      <c r="J65" s="18"/>
      <c r="K65" s="18"/>
      <c r="L65" s="18"/>
      <c r="M65" s="18"/>
      <c r="N65" s="14"/>
      <c r="O65" s="1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s="7" customFormat="1" ht="12.75" customHeight="1">
      <c r="A66" s="15"/>
      <c r="B66" s="8"/>
      <c r="C66" s="8"/>
      <c r="D66" s="18"/>
      <c r="E66" s="30"/>
      <c r="F66" s="18"/>
      <c r="G66" s="18"/>
      <c r="H66" s="12"/>
      <c r="I66" s="18"/>
      <c r="J66" s="18"/>
      <c r="K66" s="18"/>
      <c r="L66" s="18"/>
      <c r="M66" s="18"/>
      <c r="N66" s="14"/>
      <c r="O66" s="14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s="7" customFormat="1" ht="18" customHeight="1">
      <c r="A67" s="15"/>
      <c r="B67" s="8"/>
      <c r="C67" s="8"/>
      <c r="D67" s="18"/>
      <c r="E67" s="30"/>
      <c r="F67" s="18"/>
      <c r="G67" s="18"/>
      <c r="H67" s="18"/>
      <c r="I67" s="18"/>
      <c r="J67" s="18"/>
      <c r="K67" s="18"/>
      <c r="L67" s="18"/>
      <c r="M67" s="18"/>
      <c r="N67" s="14"/>
      <c r="O67" s="1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s="7" customFormat="1" ht="25.5" customHeight="1">
      <c r="A68" s="8"/>
      <c r="B68" s="8"/>
      <c r="C68" s="8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5"/>
      <c r="AH68" s="15"/>
      <c r="AI68" s="15"/>
      <c r="AJ68" s="15"/>
    </row>
    <row r="69" spans="4:32" s="7" customFormat="1" ht="12.75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6" s="7" customFormat="1" ht="18" customHeight="1">
      <c r="A70" s="15"/>
      <c r="B70" s="8"/>
      <c r="C70" s="8"/>
      <c r="D70" s="18"/>
      <c r="E70" s="30"/>
      <c r="F70" s="18"/>
      <c r="G70" s="18"/>
      <c r="H70" s="18"/>
      <c r="I70" s="18"/>
      <c r="J70" s="18"/>
      <c r="K70" s="18"/>
      <c r="L70" s="18"/>
      <c r="M70" s="18"/>
      <c r="N70" s="14"/>
      <c r="O70" s="14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s="7" customFormat="1" ht="25.5" customHeight="1">
      <c r="A71" s="8"/>
      <c r="B71" s="8"/>
      <c r="C71" s="8"/>
      <c r="D71" s="14"/>
      <c r="E71" s="14"/>
      <c r="F71" s="31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5"/>
      <c r="AH71" s="15"/>
      <c r="AI71" s="15"/>
      <c r="AJ71" s="15"/>
    </row>
    <row r="72" spans="1:15" s="7" customFormat="1" ht="29.25" customHeight="1">
      <c r="A72" s="19"/>
      <c r="B72" s="8"/>
      <c r="C72" s="8"/>
      <c r="D72" s="33"/>
      <c r="E72" s="33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7" customFormat="1" ht="29.25" customHeight="1">
      <c r="A73" s="34"/>
      <c r="B73" s="8"/>
      <c r="C73" s="8"/>
      <c r="D73" s="33"/>
      <c r="E73" s="33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="2" customFormat="1" ht="15">
      <c r="G74" s="5"/>
    </row>
    <row r="75" s="2" customFormat="1" ht="12.75">
      <c r="G75" s="7"/>
    </row>
    <row r="76" spans="1:12" s="2" customFormat="1" ht="9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4" s="2" customFormat="1" ht="12.75">
      <c r="A77" s="15"/>
      <c r="B77" s="8"/>
      <c r="C77" s="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s="2" customFormat="1" ht="12.75">
      <c r="A78" s="7"/>
      <c r="B78" s="10"/>
      <c r="C78" s="10"/>
      <c r="D78" s="10"/>
      <c r="E78" s="10"/>
      <c r="F78" s="7"/>
      <c r="G78" s="7"/>
      <c r="H78" s="7"/>
      <c r="I78" s="7"/>
      <c r="J78" s="7"/>
      <c r="K78" s="7"/>
      <c r="L78" s="7"/>
      <c r="M78" s="7"/>
      <c r="N78" s="7"/>
    </row>
    <row r="79" spans="1:47" s="7" customFormat="1" ht="13.5" customHeight="1">
      <c r="A79" s="15"/>
      <c r="B79" s="8"/>
      <c r="C79" s="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4"/>
      <c r="O79" s="1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1:47" s="7" customFormat="1" ht="13.5" customHeight="1">
      <c r="A80" s="15"/>
      <c r="B80" s="8"/>
      <c r="C80" s="8"/>
      <c r="D80" s="18"/>
      <c r="E80" s="30"/>
      <c r="F80" s="18"/>
      <c r="G80" s="18"/>
      <c r="H80" s="18"/>
      <c r="I80" s="18"/>
      <c r="J80" s="18"/>
      <c r="K80" s="18"/>
      <c r="L80" s="18"/>
      <c r="M80" s="18"/>
      <c r="N80" s="14"/>
      <c r="O80" s="14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1:47" s="7" customFormat="1" ht="13.5" customHeight="1">
      <c r="A81" s="15"/>
      <c r="B81" s="8"/>
      <c r="C81" s="8"/>
      <c r="D81" s="18"/>
      <c r="E81" s="32"/>
      <c r="F81" s="18"/>
      <c r="G81" s="18"/>
      <c r="H81" s="18"/>
      <c r="I81" s="18"/>
      <c r="J81" s="18"/>
      <c r="K81" s="18"/>
      <c r="L81" s="18"/>
      <c r="M81" s="18"/>
      <c r="N81" s="14"/>
      <c r="O81" s="14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1:47" s="7" customFormat="1" ht="13.5" customHeight="1">
      <c r="A82" s="15"/>
      <c r="B82" s="8"/>
      <c r="C82" s="8"/>
      <c r="D82" s="18"/>
      <c r="E82" s="30"/>
      <c r="F82" s="18"/>
      <c r="G82" s="18"/>
      <c r="H82" s="18"/>
      <c r="I82" s="18"/>
      <c r="J82" s="18"/>
      <c r="K82" s="18"/>
      <c r="L82" s="18"/>
      <c r="M82" s="18"/>
      <c r="N82" s="14"/>
      <c r="O82" s="14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1:47" s="7" customFormat="1" ht="13.5" customHeight="1">
      <c r="A83" s="15"/>
      <c r="B83" s="8"/>
      <c r="C83" s="8"/>
      <c r="D83" s="18"/>
      <c r="E83" s="30"/>
      <c r="F83" s="18"/>
      <c r="G83" s="18"/>
      <c r="H83" s="18"/>
      <c r="I83" s="18"/>
      <c r="J83" s="18"/>
      <c r="K83" s="18"/>
      <c r="L83" s="18"/>
      <c r="M83" s="18"/>
      <c r="N83" s="14"/>
      <c r="O83" s="14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spans="1:47" s="7" customFormat="1" ht="13.5" customHeight="1">
      <c r="A84" s="15"/>
      <c r="B84" s="8"/>
      <c r="C84" s="8"/>
      <c r="D84" s="18"/>
      <c r="E84" s="30"/>
      <c r="F84" s="18"/>
      <c r="G84" s="18"/>
      <c r="H84" s="18"/>
      <c r="I84" s="18"/>
      <c r="J84" s="18"/>
      <c r="K84" s="18"/>
      <c r="L84" s="18"/>
      <c r="M84" s="18"/>
      <c r="N84" s="14"/>
      <c r="O84" s="14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1:36" s="7" customFormat="1" ht="9" customHeight="1">
      <c r="A85" s="15"/>
      <c r="B85" s="8"/>
      <c r="C85" s="8"/>
      <c r="D85" s="18"/>
      <c r="E85" s="30"/>
      <c r="F85" s="18"/>
      <c r="G85" s="22"/>
      <c r="H85" s="14"/>
      <c r="I85" s="14"/>
      <c r="J85" s="14"/>
      <c r="K85" s="14"/>
      <c r="L85" s="14"/>
      <c r="M85" s="14"/>
      <c r="N85" s="14"/>
      <c r="O85" s="14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1:36" s="7" customFormat="1" ht="9" customHeight="1">
      <c r="A86" s="15"/>
      <c r="B86" s="8"/>
      <c r="C86" s="8"/>
      <c r="D86" s="18"/>
      <c r="E86" s="30"/>
      <c r="F86" s="18"/>
      <c r="G86" s="22"/>
      <c r="H86" s="14"/>
      <c r="I86" s="14"/>
      <c r="J86" s="14"/>
      <c r="K86" s="14"/>
      <c r="L86" s="14"/>
      <c r="M86" s="14"/>
      <c r="N86" s="14"/>
      <c r="O86" s="14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1:36" s="7" customFormat="1" ht="9" customHeight="1">
      <c r="A87" s="15"/>
      <c r="B87" s="8"/>
      <c r="C87" s="8"/>
      <c r="D87" s="18"/>
      <c r="E87" s="30"/>
      <c r="F87" s="18"/>
      <c r="G87" s="22"/>
      <c r="H87" s="14"/>
      <c r="I87" s="14"/>
      <c r="J87" s="14"/>
      <c r="K87" s="14"/>
      <c r="L87" s="14"/>
      <c r="M87" s="14"/>
      <c r="N87" s="14"/>
      <c r="O87" s="14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1:36" s="7" customFormat="1" ht="15.75" customHeight="1">
      <c r="A88" s="15"/>
      <c r="B88" s="8"/>
      <c r="C88" s="8"/>
      <c r="D88" s="24"/>
      <c r="E88" s="14"/>
      <c r="F88" s="18"/>
      <c r="G88" s="24"/>
      <c r="H88" s="14"/>
      <c r="I88" s="14"/>
      <c r="J88" s="14"/>
      <c r="K88" s="14"/>
      <c r="L88" s="14"/>
      <c r="M88" s="14"/>
      <c r="N88" s="14"/>
      <c r="O88" s="14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1:36" s="7" customFormat="1" ht="15" customHeight="1">
      <c r="A89" s="15"/>
      <c r="B89" s="8"/>
      <c r="C89" s="8"/>
      <c r="D89" s="22"/>
      <c r="E89" s="14"/>
      <c r="G89" s="22"/>
      <c r="H89" s="14"/>
      <c r="I89" s="14"/>
      <c r="J89" s="14"/>
      <c r="K89" s="14"/>
      <c r="L89" s="14"/>
      <c r="M89" s="14"/>
      <c r="N89" s="14"/>
      <c r="O89" s="14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1:36" s="7" customFormat="1" ht="15" customHeight="1">
      <c r="A90" s="15"/>
      <c r="B90" s="8"/>
      <c r="C90" s="8"/>
      <c r="D90" s="18"/>
      <c r="E90" s="30"/>
      <c r="F90" s="22"/>
      <c r="G90" s="14"/>
      <c r="H90" s="14"/>
      <c r="I90" s="14"/>
      <c r="J90" s="14"/>
      <c r="K90" s="14"/>
      <c r="L90" s="14"/>
      <c r="M90" s="14"/>
      <c r="N90" s="14"/>
      <c r="O90" s="14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1:36" s="7" customFormat="1" ht="18" customHeight="1">
      <c r="A91" s="8"/>
      <c r="B91" s="17"/>
      <c r="C91" s="17"/>
      <c r="D91" s="17"/>
      <c r="E91" s="17"/>
      <c r="F91" s="25"/>
      <c r="G91" s="25"/>
      <c r="H91" s="25"/>
      <c r="I91" s="25"/>
      <c r="J91" s="25"/>
      <c r="K91" s="25"/>
      <c r="L91" s="25"/>
      <c r="M91" s="25"/>
      <c r="N91" s="14"/>
      <c r="O91" s="14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1:36" s="7" customFormat="1" ht="17.25" customHeight="1">
      <c r="A92" s="15"/>
      <c r="B92" s="8"/>
      <c r="C92" s="8"/>
      <c r="D92" s="18"/>
      <c r="E92" s="30"/>
      <c r="F92" s="18"/>
      <c r="G92" s="18"/>
      <c r="H92" s="18"/>
      <c r="I92" s="18"/>
      <c r="J92" s="18"/>
      <c r="K92" s="18"/>
      <c r="L92" s="18"/>
      <c r="M92" s="18"/>
      <c r="N92" s="14"/>
      <c r="O92" s="14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1:36" s="7" customFormat="1" ht="17.25" customHeight="1">
      <c r="A93" s="15"/>
      <c r="B93" s="8"/>
      <c r="C93" s="8"/>
      <c r="D93" s="18"/>
      <c r="E93" s="30"/>
      <c r="F93" s="18"/>
      <c r="G93" s="18"/>
      <c r="H93" s="18"/>
      <c r="I93" s="18"/>
      <c r="J93" s="18"/>
      <c r="K93" s="18"/>
      <c r="L93" s="18"/>
      <c r="M93" s="18"/>
      <c r="N93" s="14"/>
      <c r="O93" s="14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1:36" s="7" customFormat="1" ht="12.75" customHeight="1">
      <c r="A94" s="15"/>
      <c r="B94" s="8"/>
      <c r="C94" s="8"/>
      <c r="D94" s="18"/>
      <c r="E94" s="30"/>
      <c r="F94" s="18"/>
      <c r="G94" s="18"/>
      <c r="H94" s="18"/>
      <c r="I94" s="18"/>
      <c r="J94" s="18"/>
      <c r="K94" s="18"/>
      <c r="L94" s="18"/>
      <c r="M94" s="18"/>
      <c r="N94" s="14"/>
      <c r="O94" s="14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36" s="7" customFormat="1" ht="12.75" customHeight="1">
      <c r="A95" s="15"/>
      <c r="B95" s="8"/>
      <c r="C95" s="8"/>
      <c r="D95" s="18"/>
      <c r="E95" s="30"/>
      <c r="F95" s="18"/>
      <c r="G95" s="18"/>
      <c r="H95" s="18"/>
      <c r="I95" s="18"/>
      <c r="J95" s="18"/>
      <c r="K95" s="18"/>
      <c r="L95" s="18"/>
      <c r="M95" s="18"/>
      <c r="N95" s="14"/>
      <c r="O95" s="14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1:36" s="7" customFormat="1" ht="12.75" customHeight="1">
      <c r="A96" s="15"/>
      <c r="B96" s="8"/>
      <c r="C96" s="8"/>
      <c r="D96" s="18"/>
      <c r="E96" s="30"/>
      <c r="F96" s="18"/>
      <c r="G96" s="18"/>
      <c r="H96" s="18"/>
      <c r="I96" s="18"/>
      <c r="J96" s="18"/>
      <c r="K96" s="18"/>
      <c r="L96" s="18"/>
      <c r="M96" s="18"/>
      <c r="N96" s="14"/>
      <c r="O96" s="14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1:36" s="7" customFormat="1" ht="12.75" customHeight="1">
      <c r="A97" s="15"/>
      <c r="B97" s="8"/>
      <c r="C97" s="8"/>
      <c r="D97" s="18"/>
      <c r="E97" s="30"/>
      <c r="F97" s="18"/>
      <c r="G97" s="18"/>
      <c r="H97" s="18"/>
      <c r="I97" s="18"/>
      <c r="J97" s="18"/>
      <c r="K97" s="18"/>
      <c r="L97" s="18"/>
      <c r="M97" s="18"/>
      <c r="N97" s="14"/>
      <c r="O97" s="14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1:36" s="7" customFormat="1" ht="12.75" customHeight="1">
      <c r="A98" s="15"/>
      <c r="B98" s="8"/>
      <c r="C98" s="8"/>
      <c r="D98" s="18"/>
      <c r="E98" s="30"/>
      <c r="F98" s="18"/>
      <c r="G98" s="18"/>
      <c r="H98" s="18"/>
      <c r="I98" s="18"/>
      <c r="J98" s="18"/>
      <c r="K98" s="18"/>
      <c r="L98" s="18"/>
      <c r="M98" s="18"/>
      <c r="N98" s="14"/>
      <c r="O98" s="1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1:36" s="7" customFormat="1" ht="12.75" customHeight="1">
      <c r="A99" s="15"/>
      <c r="B99" s="8"/>
      <c r="C99" s="8"/>
      <c r="D99" s="18"/>
      <c r="E99" s="30"/>
      <c r="F99" s="18"/>
      <c r="G99" s="18"/>
      <c r="H99" s="18"/>
      <c r="I99" s="18"/>
      <c r="J99" s="18"/>
      <c r="K99" s="18"/>
      <c r="L99" s="18"/>
      <c r="M99" s="18"/>
      <c r="N99" s="14"/>
      <c r="O99" s="14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1:36" s="7" customFormat="1" ht="12.75" customHeight="1">
      <c r="A100" s="15"/>
      <c r="B100" s="8"/>
      <c r="C100" s="8"/>
      <c r="D100" s="18"/>
      <c r="E100" s="30"/>
      <c r="F100" s="18"/>
      <c r="G100" s="18"/>
      <c r="H100" s="18"/>
      <c r="I100" s="18"/>
      <c r="J100" s="18"/>
      <c r="K100" s="18"/>
      <c r="L100" s="18"/>
      <c r="M100" s="18"/>
      <c r="N100" s="14"/>
      <c r="O100" s="14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1:36" s="7" customFormat="1" ht="6" customHeight="1">
      <c r="A101" s="15"/>
      <c r="B101" s="8"/>
      <c r="C101" s="8"/>
      <c r="D101" s="18"/>
      <c r="E101" s="30"/>
      <c r="F101" s="18"/>
      <c r="G101" s="18"/>
      <c r="H101" s="18"/>
      <c r="I101" s="18"/>
      <c r="J101" s="18"/>
      <c r="K101" s="18"/>
      <c r="L101" s="18"/>
      <c r="M101" s="18"/>
      <c r="N101" s="14"/>
      <c r="O101" s="14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1:36" s="7" customFormat="1" ht="17.25" customHeight="1">
      <c r="A102" s="8"/>
      <c r="B102" s="8"/>
      <c r="C102" s="8"/>
      <c r="D102" s="18"/>
      <c r="E102" s="30"/>
      <c r="F102" s="18"/>
      <c r="G102" s="18"/>
      <c r="H102" s="18"/>
      <c r="I102" s="18"/>
      <c r="J102" s="18"/>
      <c r="K102" s="18"/>
      <c r="L102" s="18"/>
      <c r="M102" s="18"/>
      <c r="N102" s="14"/>
      <c r="O102" s="14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1:36" s="7" customFormat="1" ht="6" customHeight="1">
      <c r="A103" s="8"/>
      <c r="B103" s="8"/>
      <c r="C103" s="8"/>
      <c r="D103" s="18"/>
      <c r="E103" s="30"/>
      <c r="F103" s="18"/>
      <c r="G103" s="18"/>
      <c r="H103" s="18"/>
      <c r="I103" s="18"/>
      <c r="J103" s="18"/>
      <c r="K103" s="18"/>
      <c r="L103" s="18"/>
      <c r="M103" s="18"/>
      <c r="N103" s="14"/>
      <c r="O103" s="14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1:36" s="7" customFormat="1" ht="12.75" customHeight="1">
      <c r="A104" s="15"/>
      <c r="B104" s="8"/>
      <c r="C104" s="8"/>
      <c r="D104" s="18"/>
      <c r="E104" s="30"/>
      <c r="F104" s="18"/>
      <c r="G104" s="18"/>
      <c r="H104" s="18"/>
      <c r="I104" s="18"/>
      <c r="J104" s="18"/>
      <c r="K104" s="18"/>
      <c r="L104" s="18"/>
      <c r="M104" s="18"/>
      <c r="N104" s="14"/>
      <c r="O104" s="14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1:36" s="7" customFormat="1" ht="18" customHeight="1">
      <c r="A105" s="15"/>
      <c r="B105" s="8"/>
      <c r="C105" s="8"/>
      <c r="D105" s="18"/>
      <c r="E105" s="30"/>
      <c r="F105" s="18"/>
      <c r="G105" s="18"/>
      <c r="H105" s="18"/>
      <c r="I105" s="18"/>
      <c r="J105" s="18"/>
      <c r="K105" s="18"/>
      <c r="L105" s="18"/>
      <c r="M105" s="18"/>
      <c r="N105" s="14"/>
      <c r="O105" s="14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1:36" s="7" customFormat="1" ht="25.5" customHeight="1">
      <c r="A106" s="8"/>
      <c r="B106" s="8"/>
      <c r="C106" s="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5"/>
      <c r="AH106" s="15"/>
      <c r="AI106" s="15"/>
      <c r="AJ106" s="15"/>
    </row>
    <row r="107" spans="4:32" s="7" customFormat="1" ht="12.75"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6" s="7" customFormat="1" ht="18" customHeight="1">
      <c r="A108" s="15"/>
      <c r="B108" s="8"/>
      <c r="C108" s="8"/>
      <c r="D108" s="18"/>
      <c r="E108" s="30"/>
      <c r="F108" s="18"/>
      <c r="G108" s="18"/>
      <c r="H108" s="18"/>
      <c r="I108" s="18"/>
      <c r="J108" s="18"/>
      <c r="K108" s="18"/>
      <c r="L108" s="18"/>
      <c r="M108" s="18"/>
      <c r="N108" s="14"/>
      <c r="O108" s="14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1:36" s="7" customFormat="1" ht="18" customHeight="1">
      <c r="A109" s="15"/>
      <c r="D109" s="18"/>
      <c r="E109" s="30"/>
      <c r="F109" s="18"/>
      <c r="G109" s="18"/>
      <c r="H109" s="18"/>
      <c r="I109" s="18"/>
      <c r="J109" s="18"/>
      <c r="K109" s="18"/>
      <c r="L109" s="18"/>
      <c r="M109" s="18"/>
      <c r="N109" s="14"/>
      <c r="O109" s="14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1:36" s="7" customFormat="1" ht="25.5" customHeight="1">
      <c r="A110" s="35"/>
      <c r="E110" s="14"/>
      <c r="F110" s="21"/>
      <c r="K110" s="7" t="s">
        <v>54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5"/>
      <c r="AH110" s="15"/>
      <c r="AI110" s="15"/>
      <c r="AJ110" s="15"/>
    </row>
    <row r="111" s="2" customFormat="1" ht="12.75">
      <c r="F111" s="27"/>
    </row>
    <row r="112" s="2" customFormat="1" ht="12.75">
      <c r="F112" s="21"/>
    </row>
    <row r="113" s="2" customFormat="1" ht="12.75"/>
    <row r="114" spans="6:11" s="2" customFormat="1" ht="12.75">
      <c r="F114" s="21"/>
      <c r="K114" s="2" t="s">
        <v>55</v>
      </c>
    </row>
    <row r="115" spans="5:11" s="2" customFormat="1" ht="19.5">
      <c r="E115" s="3"/>
      <c r="F115" s="21"/>
      <c r="K115" s="2" t="s">
        <v>56</v>
      </c>
    </row>
    <row r="116" spans="1:11" s="2" customFormat="1" ht="19.5">
      <c r="A116" s="3"/>
      <c r="B116" s="3"/>
      <c r="C116" s="3"/>
      <c r="E116" s="3"/>
      <c r="F116" s="21"/>
      <c r="G116" s="21"/>
      <c r="H116" s="21"/>
      <c r="J116" s="21"/>
      <c r="K116" s="12"/>
    </row>
    <row r="117" spans="1:9" s="39" customFormat="1" ht="12.75">
      <c r="A117" s="36"/>
      <c r="B117" s="36"/>
      <c r="C117" s="36"/>
      <c r="D117" s="36"/>
      <c r="E117" s="36"/>
      <c r="F117" s="36"/>
      <c r="G117" s="36"/>
      <c r="H117" s="37"/>
      <c r="I117" s="38"/>
    </row>
    <row r="118" spans="1:9" s="39" customFormat="1" ht="12.75">
      <c r="A118" s="36"/>
      <c r="B118" s="36"/>
      <c r="C118" s="36"/>
      <c r="D118" s="36"/>
      <c r="E118" s="36"/>
      <c r="F118" s="36"/>
      <c r="G118" s="36"/>
      <c r="H118" s="37"/>
      <c r="I118" s="38"/>
    </row>
    <row r="119" spans="1:9" s="39" customFormat="1" ht="12.75">
      <c r="A119" s="36"/>
      <c r="B119" s="36"/>
      <c r="C119" s="36"/>
      <c r="D119" s="36"/>
      <c r="E119" s="36"/>
      <c r="F119" s="36"/>
      <c r="G119" s="36"/>
      <c r="H119" s="37"/>
      <c r="I119" s="38"/>
    </row>
    <row r="120" spans="1:9" s="39" customFormat="1" ht="12.75">
      <c r="A120" s="36"/>
      <c r="B120" s="36"/>
      <c r="C120" s="36"/>
      <c r="D120" s="36"/>
      <c r="E120" s="36"/>
      <c r="F120" s="36"/>
      <c r="G120" s="36"/>
      <c r="H120" s="37"/>
      <c r="I120" s="38"/>
    </row>
    <row r="121" spans="1:9" s="39" customFormat="1" ht="12.75">
      <c r="A121" s="36"/>
      <c r="B121" s="36"/>
      <c r="C121" s="36"/>
      <c r="D121" s="36"/>
      <c r="E121" s="36"/>
      <c r="F121" s="36"/>
      <c r="G121" s="36"/>
      <c r="H121" s="37"/>
      <c r="I121" s="38"/>
    </row>
    <row r="122" spans="1:9" s="39" customFormat="1" ht="12.75">
      <c r="A122" s="36"/>
      <c r="B122" s="36"/>
      <c r="C122" s="36"/>
      <c r="D122" s="36"/>
      <c r="E122" s="36"/>
      <c r="F122" s="36"/>
      <c r="G122" s="36"/>
      <c r="H122" s="37"/>
      <c r="I122" s="38"/>
    </row>
    <row r="123" spans="1:9" s="39" customFormat="1" ht="12.75">
      <c r="A123" s="36"/>
      <c r="B123" s="36"/>
      <c r="C123" s="36"/>
      <c r="D123" s="36"/>
      <c r="E123" s="36"/>
      <c r="F123" s="36"/>
      <c r="G123" s="36"/>
      <c r="H123" s="37"/>
      <c r="I123" s="38"/>
    </row>
    <row r="124" spans="1:9" s="39" customFormat="1" ht="12.75">
      <c r="A124" s="36"/>
      <c r="B124" s="36"/>
      <c r="C124" s="36"/>
      <c r="D124" s="36"/>
      <c r="E124" s="36"/>
      <c r="F124" s="36"/>
      <c r="G124" s="36"/>
      <c r="H124" s="37"/>
      <c r="I124" s="38"/>
    </row>
    <row r="125" spans="1:19" s="22" customFormat="1" ht="18" customHeight="1">
      <c r="A125" s="23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2" s="22" customFormat="1" ht="15">
      <c r="A126" s="21"/>
      <c r="B126" s="21"/>
      <c r="C126" s="21"/>
      <c r="D126" s="21"/>
      <c r="E126" s="21"/>
      <c r="F126" s="21"/>
      <c r="G126" s="24"/>
      <c r="H126" s="21"/>
      <c r="I126" s="21"/>
      <c r="J126" s="21"/>
      <c r="K126" s="21"/>
      <c r="L126" s="21"/>
    </row>
    <row r="127" spans="1:12" s="22" customFormat="1" ht="12.75">
      <c r="A127" s="40"/>
      <c r="B127" s="26"/>
      <c r="C127" s="26"/>
      <c r="D127" s="26"/>
      <c r="F127" s="26"/>
      <c r="G127" s="26"/>
      <c r="H127" s="26" t="s">
        <v>57</v>
      </c>
      <c r="I127" s="21"/>
      <c r="J127" s="21"/>
      <c r="K127" s="21"/>
      <c r="L127" s="21"/>
    </row>
    <row r="128" spans="2:21" s="21" customFormat="1" ht="12.75">
      <c r="B128" s="17"/>
      <c r="C128" s="17"/>
      <c r="D128" s="17"/>
      <c r="F128" s="17"/>
      <c r="G128" s="25"/>
      <c r="H128" s="25" t="s">
        <v>58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6"/>
    </row>
    <row r="129" spans="1:20" s="21" customFormat="1" ht="12.75" customHeight="1">
      <c r="A129" s="29"/>
      <c r="B129" s="29"/>
      <c r="C129" s="29"/>
      <c r="D129" s="41"/>
      <c r="E129" s="42"/>
      <c r="F129" s="42"/>
      <c r="G129" s="43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s="21" customFormat="1" ht="12.75" customHeight="1">
      <c r="A130" s="15"/>
      <c r="B130" s="29"/>
      <c r="C130" s="29"/>
      <c r="D130" s="41"/>
      <c r="E130" s="42"/>
      <c r="F130" s="42"/>
      <c r="G130" s="43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s="21" customFormat="1" ht="12.75" customHeight="1">
      <c r="A131" s="20"/>
      <c r="B131" s="29"/>
      <c r="C131" s="29"/>
      <c r="D131" s="41"/>
      <c r="E131" s="42"/>
      <c r="F131" s="42"/>
      <c r="G131" s="43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s="21" customFormat="1" ht="12.75" customHeight="1">
      <c r="A132" s="20"/>
      <c r="B132" s="29"/>
      <c r="C132" s="29"/>
      <c r="D132" s="41"/>
      <c r="E132" s="42"/>
      <c r="F132" s="42"/>
      <c r="G132" s="43"/>
      <c r="H132" s="4">
        <v>28770</v>
      </c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s="21" customFormat="1" ht="12.75" customHeight="1">
      <c r="A133" s="20"/>
      <c r="B133" s="29"/>
      <c r="C133" s="29"/>
      <c r="D133" s="41"/>
      <c r="E133" s="42"/>
      <c r="F133" s="42"/>
      <c r="G133" s="43"/>
      <c r="H133" s="44"/>
      <c r="I133" s="45">
        <f>SUM(H132:H133)</f>
        <v>28770</v>
      </c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20" s="21" customFormat="1" ht="12.75" customHeight="1">
      <c r="A134" s="29"/>
      <c r="B134" s="29"/>
      <c r="C134" s="29"/>
      <c r="D134" s="41"/>
      <c r="E134" s="42"/>
      <c r="F134" s="42"/>
      <c r="G134" s="43"/>
      <c r="H134" s="4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s="21" customFormat="1" ht="12.75" customHeight="1">
      <c r="A135" s="15"/>
      <c r="D135" s="26"/>
      <c r="E135" s="17"/>
      <c r="F135" s="17"/>
      <c r="G135" s="27"/>
      <c r="H135" s="46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4:20" s="21" customFormat="1" ht="12.75" customHeight="1">
      <c r="D136" s="26"/>
      <c r="E136" s="17"/>
      <c r="F136" s="1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9" s="39" customFormat="1" ht="12.75" customHeight="1">
      <c r="A137" s="47"/>
      <c r="B137" s="36"/>
      <c r="C137" s="36"/>
      <c r="D137" s="36"/>
      <c r="E137" s="36"/>
      <c r="F137" s="36"/>
      <c r="G137" s="36"/>
      <c r="H137" s="14">
        <v>2255000</v>
      </c>
      <c r="I137" s="38"/>
    </row>
    <row r="138" spans="1:9" s="39" customFormat="1" ht="12.75" customHeight="1">
      <c r="A138" s="36"/>
      <c r="B138" s="36"/>
      <c r="C138" s="36"/>
      <c r="D138" s="36"/>
      <c r="E138" s="36"/>
      <c r="F138" s="36"/>
      <c r="G138" s="36"/>
      <c r="H138" s="14">
        <v>3570</v>
      </c>
      <c r="I138" s="38"/>
    </row>
    <row r="139" spans="1:10" s="39" customFormat="1" ht="12.75" customHeight="1">
      <c r="A139" s="47"/>
      <c r="B139" s="36"/>
      <c r="C139" s="36"/>
      <c r="D139" s="36"/>
      <c r="E139" s="36"/>
      <c r="F139" s="36"/>
      <c r="G139" s="36"/>
      <c r="H139" s="14">
        <v>41309</v>
      </c>
      <c r="I139" s="38"/>
      <c r="J139" s="31"/>
    </row>
    <row r="140" spans="1:9" s="39" customFormat="1" ht="12.75" customHeight="1">
      <c r="A140" s="47"/>
      <c r="B140" s="36"/>
      <c r="C140" s="36"/>
      <c r="D140" s="36"/>
      <c r="E140" s="36"/>
      <c r="F140" s="36"/>
      <c r="G140" s="36"/>
      <c r="H140" s="48">
        <v>256</v>
      </c>
      <c r="I140" s="38">
        <f>SUM(H137:H140)</f>
        <v>2300135</v>
      </c>
    </row>
    <row r="141" spans="1:9" s="39" customFormat="1" ht="12.75" customHeight="1">
      <c r="A141" s="47"/>
      <c r="B141" s="36"/>
      <c r="C141" s="36"/>
      <c r="D141" s="36"/>
      <c r="E141" s="36"/>
      <c r="F141" s="36"/>
      <c r="G141" s="36"/>
      <c r="H141" s="14"/>
      <c r="I141" s="38"/>
    </row>
    <row r="142" spans="1:9" s="39" customFormat="1" ht="12.75" customHeight="1">
      <c r="A142" s="47"/>
      <c r="B142" s="36"/>
      <c r="C142" s="36"/>
      <c r="D142" s="36"/>
      <c r="E142" s="36"/>
      <c r="F142" s="36"/>
      <c r="G142" s="36"/>
      <c r="H142" s="14"/>
      <c r="I142" s="38"/>
    </row>
    <row r="143" spans="1:9" s="39" customFormat="1" ht="12.75" customHeight="1">
      <c r="A143" s="47"/>
      <c r="B143" s="36"/>
      <c r="C143" s="36"/>
      <c r="D143" s="36"/>
      <c r="E143" s="36"/>
      <c r="F143" s="36"/>
      <c r="G143" s="36"/>
      <c r="H143" s="14"/>
      <c r="I143" s="38"/>
    </row>
    <row r="144" spans="1:9" s="39" customFormat="1" ht="12.75" customHeight="1">
      <c r="A144" s="47"/>
      <c r="B144" s="36"/>
      <c r="C144" s="36"/>
      <c r="D144" s="36"/>
      <c r="E144" s="36"/>
      <c r="F144" s="36"/>
      <c r="G144" s="36"/>
      <c r="H144" s="14"/>
      <c r="I144" s="38"/>
    </row>
    <row r="145" spans="1:9" s="39" customFormat="1" ht="12.75" customHeight="1">
      <c r="A145" s="47"/>
      <c r="B145" s="36"/>
      <c r="C145" s="36"/>
      <c r="D145" s="36"/>
      <c r="E145" s="36"/>
      <c r="F145" s="36"/>
      <c r="G145" s="36"/>
      <c r="H145" s="14"/>
      <c r="I145" s="38"/>
    </row>
    <row r="146" spans="1:9" s="39" customFormat="1" ht="12.75" customHeight="1">
      <c r="A146" s="47"/>
      <c r="B146" s="36"/>
      <c r="C146" s="36"/>
      <c r="D146" s="36"/>
      <c r="E146" s="36"/>
      <c r="F146" s="36"/>
      <c r="G146" s="36"/>
      <c r="H146" s="14"/>
      <c r="I146" s="38"/>
    </row>
    <row r="147" spans="1:9" s="39" customFormat="1" ht="12.75" customHeight="1">
      <c r="A147" s="47"/>
      <c r="B147" s="36"/>
      <c r="C147" s="36"/>
      <c r="D147" s="36"/>
      <c r="E147" s="36"/>
      <c r="F147" s="36"/>
      <c r="G147" s="36"/>
      <c r="H147" s="14"/>
      <c r="I147" s="38"/>
    </row>
    <row r="148" spans="1:9" s="39" customFormat="1" ht="12.75" customHeight="1">
      <c r="A148" s="47"/>
      <c r="B148" s="36"/>
      <c r="C148" s="36"/>
      <c r="D148" s="36"/>
      <c r="E148" s="36"/>
      <c r="F148" s="36"/>
      <c r="G148" s="36"/>
      <c r="H148" s="14"/>
      <c r="I148" s="38"/>
    </row>
    <row r="149" spans="1:9" s="39" customFormat="1" ht="12.75" customHeight="1">
      <c r="A149" s="47"/>
      <c r="B149" s="36"/>
      <c r="C149" s="36"/>
      <c r="D149" s="36"/>
      <c r="E149" s="36"/>
      <c r="F149" s="36"/>
      <c r="G149" s="36"/>
      <c r="H149" s="14"/>
      <c r="I149" s="38"/>
    </row>
    <row r="150" spans="1:9" s="39" customFormat="1" ht="12.75" customHeight="1">
      <c r="A150" s="47"/>
      <c r="B150" s="36"/>
      <c r="C150" s="36"/>
      <c r="D150" s="36"/>
      <c r="E150" s="36"/>
      <c r="F150" s="36"/>
      <c r="G150" s="36"/>
      <c r="H150" s="14"/>
      <c r="I150" s="38"/>
    </row>
    <row r="151" spans="1:9" s="39" customFormat="1" ht="12.75" customHeight="1">
      <c r="A151" s="47"/>
      <c r="B151" s="36"/>
      <c r="C151" s="36"/>
      <c r="D151" s="36"/>
      <c r="E151" s="36"/>
      <c r="F151" s="36"/>
      <c r="G151" s="36"/>
      <c r="H151" s="14"/>
      <c r="I151" s="38"/>
    </row>
    <row r="152" spans="1:9" s="39" customFormat="1" ht="12.75" customHeight="1">
      <c r="A152" s="47"/>
      <c r="B152" s="36"/>
      <c r="C152" s="36"/>
      <c r="D152" s="36"/>
      <c r="E152" s="36"/>
      <c r="F152" s="36"/>
      <c r="G152" s="36"/>
      <c r="H152" s="14"/>
      <c r="I152" s="38"/>
    </row>
    <row r="153" spans="1:9" s="39" customFormat="1" ht="12.75" customHeight="1">
      <c r="A153" s="47"/>
      <c r="B153" s="36"/>
      <c r="C153" s="36"/>
      <c r="D153" s="36"/>
      <c r="E153" s="36"/>
      <c r="F153" s="36"/>
      <c r="G153" s="36"/>
      <c r="H153" s="14">
        <v>3213</v>
      </c>
      <c r="I153" s="38"/>
    </row>
    <row r="154" spans="1:9" s="39" customFormat="1" ht="12.75" customHeight="1">
      <c r="A154" s="47"/>
      <c r="B154" s="36"/>
      <c r="C154" s="36"/>
      <c r="D154" s="36"/>
      <c r="E154" s="36"/>
      <c r="F154" s="36"/>
      <c r="G154" s="36"/>
      <c r="H154" s="14">
        <v>3927</v>
      </c>
      <c r="I154" s="38"/>
    </row>
    <row r="155" spans="1:9" s="39" customFormat="1" ht="12.75" customHeight="1">
      <c r="A155" s="47"/>
      <c r="B155" s="36"/>
      <c r="C155" s="36"/>
      <c r="D155" s="36"/>
      <c r="E155" s="36"/>
      <c r="F155" s="36"/>
      <c r="G155" s="36"/>
      <c r="H155" s="14">
        <v>45000</v>
      </c>
      <c r="I155" s="38"/>
    </row>
    <row r="156" spans="1:9" s="39" customFormat="1" ht="12.75" customHeight="1">
      <c r="A156" s="47"/>
      <c r="B156" s="36"/>
      <c r="C156" s="36"/>
      <c r="D156" s="36"/>
      <c r="E156" s="36"/>
      <c r="F156" s="36"/>
      <c r="G156" s="36"/>
      <c r="H156" s="14">
        <v>101709</v>
      </c>
      <c r="I156" s="38"/>
    </row>
    <row r="157" spans="1:9" s="39" customFormat="1" ht="12.75" customHeight="1">
      <c r="A157" s="47"/>
      <c r="B157" s="36"/>
      <c r="C157" s="36"/>
      <c r="D157" s="36"/>
      <c r="E157" s="36"/>
      <c r="F157" s="36"/>
      <c r="G157" s="36"/>
      <c r="H157" s="48">
        <v>400</v>
      </c>
      <c r="I157" s="38">
        <f>SUM(H153:H157)</f>
        <v>154249</v>
      </c>
    </row>
    <row r="158" spans="1:9" s="39" customFormat="1" ht="12.75" customHeight="1">
      <c r="A158" s="47"/>
      <c r="B158" s="36"/>
      <c r="C158" s="36"/>
      <c r="D158" s="36"/>
      <c r="E158" s="36"/>
      <c r="F158" s="36"/>
      <c r="G158" s="36"/>
      <c r="H158" s="14"/>
      <c r="I158" s="38"/>
    </row>
    <row r="159" spans="1:9" s="39" customFormat="1" ht="12.75" customHeight="1">
      <c r="A159" s="47"/>
      <c r="B159" s="36"/>
      <c r="C159" s="36"/>
      <c r="D159" s="36"/>
      <c r="E159" s="36"/>
      <c r="F159" s="36"/>
      <c r="G159" s="36"/>
      <c r="H159" s="14"/>
      <c r="I159" s="38"/>
    </row>
    <row r="160" spans="1:9" s="39" customFormat="1" ht="12.75" customHeight="1">
      <c r="A160" s="47"/>
      <c r="B160" s="36"/>
      <c r="C160" s="36"/>
      <c r="D160" s="36"/>
      <c r="E160" s="36"/>
      <c r="F160" s="36"/>
      <c r="G160" s="36"/>
      <c r="H160" s="14"/>
      <c r="I160" s="38"/>
    </row>
    <row r="161" spans="1:9" s="39" customFormat="1" ht="12.75" customHeight="1">
      <c r="A161" s="36"/>
      <c r="B161" s="36"/>
      <c r="C161" s="36"/>
      <c r="D161" s="36"/>
      <c r="E161" s="36"/>
      <c r="F161" s="36"/>
      <c r="G161" s="36"/>
      <c r="H161" s="14"/>
      <c r="I161" s="38"/>
    </row>
    <row r="162" spans="1:10" s="39" customFormat="1" ht="12.75" customHeight="1">
      <c r="A162" s="36"/>
      <c r="B162" s="36"/>
      <c r="C162" s="36"/>
      <c r="D162" s="36"/>
      <c r="E162" s="36"/>
      <c r="F162" s="36"/>
      <c r="G162" s="36"/>
      <c r="H162" s="14"/>
      <c r="I162" s="12">
        <f>SUM(H137:H162)</f>
        <v>2454384</v>
      </c>
      <c r="J162" s="31"/>
    </row>
    <row r="163" spans="1:9" s="39" customFormat="1" ht="12.75" customHeight="1">
      <c r="A163" s="36"/>
      <c r="B163" s="36"/>
      <c r="C163" s="36"/>
      <c r="D163" s="36"/>
      <c r="E163" s="36"/>
      <c r="F163" s="36"/>
      <c r="G163" s="36"/>
      <c r="H163" s="14"/>
      <c r="I163" s="38"/>
    </row>
    <row r="164" spans="1:9" s="39" customFormat="1" ht="12.75" customHeight="1">
      <c r="A164" s="36"/>
      <c r="B164" s="36"/>
      <c r="C164" s="36"/>
      <c r="D164" s="36"/>
      <c r="E164" s="36"/>
      <c r="F164" s="36"/>
      <c r="G164" s="36"/>
      <c r="H164" s="14"/>
      <c r="I164" s="38"/>
    </row>
    <row r="165" spans="1:9" s="39" customFormat="1" ht="12.75" customHeight="1">
      <c r="A165" s="36"/>
      <c r="B165" s="36"/>
      <c r="C165" s="36"/>
      <c r="D165" s="36"/>
      <c r="E165" s="36"/>
      <c r="F165" s="36"/>
      <c r="G165" s="36"/>
      <c r="H165" s="14"/>
      <c r="I165" s="14">
        <f>SUM(H137:H165)</f>
        <v>2454384</v>
      </c>
    </row>
    <row r="166" spans="1:9" s="39" customFormat="1" ht="12.75" customHeight="1">
      <c r="A166" s="36"/>
      <c r="B166" s="36"/>
      <c r="C166" s="36"/>
      <c r="D166" s="36"/>
      <c r="E166" s="36"/>
      <c r="F166" s="36"/>
      <c r="G166" s="36"/>
      <c r="H166" s="37"/>
      <c r="I166" s="12"/>
    </row>
    <row r="167" spans="1:9" s="39" customFormat="1" ht="18" customHeight="1">
      <c r="A167" s="36"/>
      <c r="B167" s="36"/>
      <c r="C167" s="36"/>
      <c r="D167" s="36"/>
      <c r="E167" s="36"/>
      <c r="F167" s="36"/>
      <c r="G167" s="36"/>
      <c r="H167" s="12"/>
      <c r="I167" s="49">
        <f>I165+I133</f>
        <v>2483154</v>
      </c>
    </row>
  </sheetData>
  <sheetProtection/>
  <printOptions/>
  <pageMargins left="1.5" right="0" top="0.85" bottom="0.75" header="0" footer="0"/>
  <pageSetup fitToHeight="0"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BENGUET STATE UNIVERSITY</dc:creator>
  <cp:keywords/>
  <dc:description/>
  <cp:lastModifiedBy>azure</cp:lastModifiedBy>
  <cp:lastPrinted>2013-02-08T04:32:48Z</cp:lastPrinted>
  <dcterms:created xsi:type="dcterms:W3CDTF">1999-04-21T06:00:31Z</dcterms:created>
  <dcterms:modified xsi:type="dcterms:W3CDTF">2014-01-15T06:24:46Z</dcterms:modified>
  <cp:category/>
  <cp:version/>
  <cp:contentType/>
  <cp:contentStatus/>
  <cp:revision>1</cp:revision>
</cp:coreProperties>
</file>