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bDiBaLiLi\Desktop\"/>
    </mc:Choice>
  </mc:AlternateContent>
  <bookViews>
    <workbookView xWindow="240" yWindow="60" windowWidth="5535" windowHeight="7620" firstSheet="2" activeTab="2"/>
  </bookViews>
  <sheets>
    <sheet name="BSU Main University" sheetId="1" state="hidden" r:id="rId1"/>
    <sheet name="Bokod" sheetId="2" state="hidden" r:id="rId2"/>
    <sheet name="Buguias" sheetId="4" r:id="rId3"/>
  </sheets>
  <calcPr calcId="152511"/>
</workbook>
</file>

<file path=xl/calcChain.xml><?xml version="1.0" encoding="utf-8"?>
<calcChain xmlns="http://schemas.openxmlformats.org/spreadsheetml/2006/main">
  <c r="C28" i="4" l="1"/>
  <c r="C16" i="2" l="1"/>
  <c r="O19" i="1"/>
  <c r="Q30" i="1"/>
  <c r="C29" i="1"/>
  <c r="N28" i="1"/>
  <c r="M28" i="1"/>
  <c r="L28" i="1"/>
  <c r="K28" i="1"/>
  <c r="J28" i="1"/>
  <c r="I28" i="1"/>
  <c r="H28" i="1"/>
  <c r="G28" i="1"/>
  <c r="F28" i="1"/>
  <c r="E28" i="1"/>
  <c r="D28" i="1"/>
  <c r="N27" i="1"/>
  <c r="M27" i="1"/>
  <c r="L27" i="1"/>
  <c r="K27" i="1"/>
  <c r="J27" i="1"/>
  <c r="I27" i="1"/>
  <c r="H27" i="1"/>
  <c r="N26" i="1"/>
  <c r="G26" i="1"/>
  <c r="N24" i="1"/>
  <c r="L24" i="1"/>
  <c r="M24" i="1"/>
  <c r="K24" i="1"/>
  <c r="J24" i="1"/>
  <c r="I24" i="1"/>
  <c r="H24" i="1"/>
  <c r="G24" i="1"/>
  <c r="F24" i="1"/>
  <c r="E24" i="1"/>
  <c r="D24" i="1"/>
  <c r="M23" i="1"/>
  <c r="H23" i="1"/>
  <c r="G23" i="1"/>
  <c r="F23" i="1"/>
  <c r="E23" i="1"/>
  <c r="D23" i="1"/>
  <c r="N22" i="1"/>
  <c r="M22" i="1"/>
  <c r="L22" i="1"/>
  <c r="K22" i="1" l="1"/>
  <c r="J22" i="1"/>
  <c r="I22" i="1"/>
  <c r="H22" i="1"/>
  <c r="G22" i="1"/>
  <c r="F22" i="1"/>
  <c r="E22" i="1"/>
  <c r="D22" i="1"/>
  <c r="N21" i="1"/>
  <c r="M21" i="1"/>
  <c r="L21" i="1"/>
  <c r="K21" i="1"/>
  <c r="J21" i="1"/>
  <c r="I21" i="1"/>
  <c r="H21" i="1"/>
  <c r="M10" i="1"/>
  <c r="M9" i="1"/>
  <c r="S18" i="1"/>
  <c r="R18" i="1"/>
  <c r="M17" i="1" s="1"/>
  <c r="L17" i="1"/>
  <c r="K17" i="1"/>
  <c r="J17" i="1"/>
  <c r="I17" i="1"/>
  <c r="H17" i="1"/>
  <c r="G17" i="1"/>
  <c r="F17" i="1"/>
  <c r="E17" i="1"/>
  <c r="D17" i="1"/>
  <c r="M14" i="1" l="1"/>
  <c r="K14" i="1"/>
  <c r="I14" i="1"/>
  <c r="N9" i="1"/>
  <c r="H14" i="1"/>
  <c r="L14" i="1"/>
  <c r="M15" i="1"/>
  <c r="N16" i="1"/>
  <c r="M16" i="1"/>
  <c r="L16" i="1"/>
  <c r="K16" i="1"/>
  <c r="J16" i="1"/>
  <c r="H16" i="1"/>
  <c r="I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J14" i="1"/>
  <c r="N13" i="1"/>
  <c r="M13" i="1"/>
  <c r="L13" i="1"/>
  <c r="K13" i="1"/>
  <c r="J13" i="1"/>
  <c r="I13" i="1"/>
  <c r="H13" i="1"/>
  <c r="G13" i="1"/>
  <c r="F13" i="1"/>
  <c r="E13" i="1"/>
  <c r="D13" i="1"/>
  <c r="N12" i="1"/>
  <c r="M12" i="1"/>
  <c r="L12" i="1"/>
  <c r="K12" i="1"/>
  <c r="J12" i="1"/>
  <c r="I12" i="1"/>
  <c r="H12" i="1"/>
  <c r="G12" i="1"/>
  <c r="F12" i="1"/>
  <c r="N11" i="1"/>
  <c r="M11" i="1"/>
  <c r="L11" i="1"/>
  <c r="L29" i="1" s="1"/>
  <c r="K11" i="1"/>
  <c r="J11" i="1"/>
  <c r="I11" i="1"/>
  <c r="H11" i="1"/>
  <c r="G11" i="1"/>
  <c r="F11" i="1"/>
  <c r="E11" i="1"/>
  <c r="D11" i="1"/>
  <c r="D29" i="1" s="1"/>
  <c r="H10" i="1"/>
  <c r="G10" i="1"/>
  <c r="F10" i="1"/>
  <c r="H9" i="1"/>
  <c r="G9" i="1"/>
  <c r="O9" i="1" s="1"/>
  <c r="Q9" i="1" s="1"/>
  <c r="O28" i="1"/>
  <c r="Q28" i="1" s="1"/>
  <c r="O27" i="1"/>
  <c r="Q27" i="1" s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Q19" i="1"/>
  <c r="Q18" i="1"/>
  <c r="O17" i="1"/>
  <c r="Q17" i="1" s="1"/>
  <c r="O12" i="1"/>
  <c r="Q12" i="1" s="1"/>
  <c r="G7" i="1"/>
  <c r="F7" i="1"/>
  <c r="Q8" i="1"/>
  <c r="F29" i="1" l="1"/>
  <c r="O15" i="1"/>
  <c r="Q15" i="1" s="1"/>
  <c r="O10" i="1"/>
  <c r="Q10" i="1" s="1"/>
  <c r="E29" i="1"/>
  <c r="O16" i="1"/>
  <c r="Q16" i="1" s="1"/>
  <c r="M29" i="1"/>
  <c r="J29" i="1"/>
  <c r="O14" i="1"/>
  <c r="Q14" i="1" s="1"/>
  <c r="G29" i="1"/>
  <c r="O11" i="1"/>
  <c r="Q11" i="1" s="1"/>
  <c r="N29" i="1"/>
  <c r="H29" i="1"/>
  <c r="I29" i="1"/>
  <c r="K29" i="1"/>
  <c r="O13" i="1"/>
  <c r="Q13" i="1" s="1"/>
  <c r="O7" i="1"/>
  <c r="Q7" i="1" l="1"/>
  <c r="O29" i="1"/>
  <c r="Q29" i="1" s="1"/>
</calcChain>
</file>

<file path=xl/sharedStrings.xml><?xml version="1.0" encoding="utf-8"?>
<sst xmlns="http://schemas.openxmlformats.org/spreadsheetml/2006/main" count="107" uniqueCount="56">
  <si>
    <t>REPORT OF ACTUAL INCOME</t>
  </si>
  <si>
    <t>For the Period Ended December 31, 2010</t>
  </si>
  <si>
    <t>SPECIAL TRUST FUND 164-MAIN</t>
  </si>
  <si>
    <t>Nature of Income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</si>
  <si>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</si>
  <si>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</si>
  <si>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</si>
  <si>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</si>
  <si>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</si>
  <si>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</si>
  <si>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</si>
  <si>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</si>
  <si>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</si>
  <si>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</si>
  <si>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</si>
  <si>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</si>
  <si>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Quarter I</t>
  </si>
  <si>
    <t>Quarter II</t>
  </si>
  <si>
    <t>Quarter III</t>
  </si>
  <si>
    <t>Quarter IV</t>
  </si>
  <si>
    <t>Total</t>
  </si>
  <si>
    <t>Registration Fees</t>
  </si>
  <si>
    <t>Affiliation Fees</t>
  </si>
  <si>
    <t>Athletic and Cultural Fees</t>
  </si>
  <si>
    <t>Clearance and Certification Fee</t>
  </si>
  <si>
    <t>Comprehensive Examination Fees</t>
  </si>
  <si>
    <t>Diploma and Graduation Fees</t>
  </si>
  <si>
    <t>Library Fees</t>
  </si>
  <si>
    <t>Medical, Dental and Laboratoy Fees</t>
  </si>
  <si>
    <t>Transcript of Record Fees</t>
  </si>
  <si>
    <t>Other Service Income</t>
  </si>
  <si>
    <t>Income from Canteen Operations</t>
  </si>
  <si>
    <t>Income from Dormitory Operations</t>
  </si>
  <si>
    <t>Landing and Parking Fees</t>
  </si>
  <si>
    <t>Rent Income/Lease Income</t>
  </si>
  <si>
    <t>Tuition Fees</t>
  </si>
  <si>
    <t>Other Business Income</t>
  </si>
  <si>
    <t>Interest Income</t>
  </si>
  <si>
    <t>Miscellaneous Income</t>
  </si>
  <si>
    <t>Other Fines and Penalties</t>
  </si>
  <si>
    <t>TOTAL</t>
  </si>
  <si>
    <t>Service Income</t>
  </si>
  <si>
    <t>Business Income</t>
  </si>
  <si>
    <t>Other Income</t>
  </si>
  <si>
    <t>Certified Correct:</t>
  </si>
  <si>
    <t>IMELDA B. GALINATO</t>
  </si>
  <si>
    <t xml:space="preserve">Accountant IV </t>
  </si>
  <si>
    <t>Note:  The University is recording its transactions on modified accrual basis.  Income from school fees were actually recorded during enrolment period.</t>
  </si>
  <si>
    <t>Approved:</t>
  </si>
  <si>
    <t>BEN D. LADILAD</t>
  </si>
  <si>
    <t>President</t>
  </si>
  <si>
    <t>SPECIAL TRUST FUND 164-BOKOD</t>
  </si>
  <si>
    <t>Fines &amp; penalties-Service Income</t>
  </si>
  <si>
    <t>SPECIAL TRUST FUND 164-BUGUIAS</t>
  </si>
  <si>
    <t>For the Period Ended December 31, 2011</t>
  </si>
  <si>
    <t>Chief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</si>
</sst>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Footlight MT Light"/>
      <family val="1"/>
    </font>
    <font>
      <b/>
      <sz val="9"/>
      <color theme="1"/>
      <name val="Footlight MT Light"/>
      <family val="1"/>
    </font>
    <font>
      <b/>
      <sz val="9"/>
      <color theme="1"/>
      <name val="Eras Bold ITC"/>
      <family val="2"/>
    </font>
    <font>
      <b/>
      <sz val="10"/>
      <color rgb="FF003300"/>
      <name val="Arial Black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Footlight MT Light"/>
      <family val="1"/>
    </font>
    <font>
      <sz val="9"/>
      <color theme="1"/>
      <name val="Bodoni MT"/>
      <family val="1"/>
    </font>
    <font>
      <sz val="10"/>
      <color theme="1"/>
      <name val="Arial"/>
      <family val="2"/>
    </font>
    <font>
      <sz val="10"/>
      <color theme="1"/>
      <name val="Bodoni MT"/>
      <family val="1"/>
    </font>
    <font>
      <b/>
      <sz val="10"/>
      <color theme="1"/>
      <name val="Bodoni MT"/>
      <family val="1"/>
    </font>
    <font>
      <sz val="7"/>
      <color theme="1"/>
      <name val="Arial"/>
      <family val="2"/>
    </font>
    <font>
      <sz val="9"/>
      <color theme="1"/>
      <name val="Footlight MT Light"/>
      <family val="1"/>
    </font>
    <font>
      <b/>
      <i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color rgb="FFFF0000"/>
      <name val="Footlight MT Light"/>
      <family val="1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3300"/>
      </left>
      <right style="thin">
        <color rgb="FF003300"/>
      </right>
      <top style="medium">
        <color rgb="FF003300"/>
      </top>
      <bottom style="thin">
        <color rgb="FF003300"/>
      </bottom>
      <diagonal/>
    </border>
    <border>
      <left style="thin">
        <color rgb="FF003300"/>
      </left>
      <right style="thin">
        <color rgb="FF003300"/>
      </right>
      <top style="medium">
        <color rgb="FF003300"/>
      </top>
      <bottom style="thin">
        <color rgb="FF003300"/>
      </bottom>
      <diagonal/>
    </border>
    <border>
      <left style="thin">
        <color rgb="FF003300"/>
      </left>
      <right style="medium">
        <color rgb="FF003300"/>
      </right>
      <top style="medium">
        <color rgb="FF003300"/>
      </top>
      <bottom style="thin">
        <color rgb="FF003300"/>
      </bottom>
      <diagonal/>
    </border>
    <border>
      <left style="medium">
        <color rgb="FF003300"/>
      </left>
      <right style="thin">
        <color rgb="FF003300"/>
      </right>
      <top style="thin">
        <color rgb="FF003300"/>
      </top>
      <bottom style="medium">
        <color rgb="FF003300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medium">
        <color rgb="FF003300"/>
      </bottom>
      <diagonal/>
    </border>
    <border>
      <left style="thin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/>
      <right/>
      <top style="thin">
        <color rgb="FF003300"/>
      </top>
      <bottom style="double">
        <color rgb="FF003300"/>
      </bottom>
      <diagonal/>
    </border>
    <border>
      <left style="hair">
        <color rgb="FF003300"/>
      </left>
      <right/>
      <top style="medium">
        <color rgb="FF003300"/>
      </top>
      <bottom style="hair">
        <color rgb="FF003300"/>
      </bottom>
      <diagonal/>
    </border>
    <border>
      <left/>
      <right/>
      <top style="medium">
        <color rgb="FF003300"/>
      </top>
      <bottom style="hair">
        <color rgb="FF003300"/>
      </bottom>
      <diagonal/>
    </border>
    <border>
      <left style="hair">
        <color rgb="FF003300"/>
      </left>
      <right/>
      <top style="hair">
        <color rgb="FF003300"/>
      </top>
      <bottom style="hair">
        <color rgb="FF003300"/>
      </bottom>
      <diagonal/>
    </border>
    <border>
      <left/>
      <right/>
      <top style="hair">
        <color rgb="FF003300"/>
      </top>
      <bottom style="hair">
        <color rgb="FF003300"/>
      </bottom>
      <diagonal/>
    </border>
    <border>
      <left style="hair">
        <color rgb="FF003300"/>
      </left>
      <right/>
      <top style="hair">
        <color rgb="FF003300"/>
      </top>
      <bottom style="thin">
        <color rgb="FF003300"/>
      </bottom>
      <diagonal/>
    </border>
    <border>
      <left/>
      <right/>
      <top style="hair">
        <color rgb="FF003300"/>
      </top>
      <bottom style="thin">
        <color rgb="FF003300"/>
      </bottom>
      <diagonal/>
    </border>
    <border>
      <left style="hair">
        <color rgb="FF003300"/>
      </left>
      <right style="hair">
        <color rgb="FF003300"/>
      </right>
      <top style="medium">
        <color rgb="FF003300"/>
      </top>
      <bottom style="hair">
        <color rgb="FF003300"/>
      </bottom>
      <diagonal/>
    </border>
    <border>
      <left style="hair">
        <color rgb="FF003300"/>
      </left>
      <right style="hair">
        <color rgb="FF003300"/>
      </right>
      <top style="hair">
        <color rgb="FF003300"/>
      </top>
      <bottom style="hair">
        <color rgb="FF003300"/>
      </bottom>
      <diagonal/>
    </border>
    <border>
      <left style="hair">
        <color rgb="FF003300"/>
      </left>
      <right style="hair">
        <color rgb="FF003300"/>
      </right>
      <top style="hair">
        <color rgb="FF003300"/>
      </top>
      <bottom style="thin">
        <color rgb="FF0033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3300"/>
      </left>
      <right style="hair">
        <color rgb="FF003300"/>
      </right>
      <top style="hair">
        <color rgb="FF003300"/>
      </top>
      <bottom/>
      <diagonal/>
    </border>
    <border>
      <left style="medium">
        <color rgb="FF003300"/>
      </left>
      <right/>
      <top style="medium">
        <color rgb="FF003300"/>
      </top>
      <bottom/>
      <diagonal/>
    </border>
    <border>
      <left/>
      <right style="thin">
        <color rgb="FF003300"/>
      </right>
      <top style="medium">
        <color rgb="FF003300"/>
      </top>
      <bottom/>
      <diagonal/>
    </border>
    <border>
      <left style="medium">
        <color rgb="FF003300"/>
      </left>
      <right/>
      <top/>
      <bottom style="medium">
        <color rgb="FF003300"/>
      </bottom>
      <diagonal/>
    </border>
    <border>
      <left/>
      <right style="thin">
        <color rgb="FF003300"/>
      </right>
      <top/>
      <bottom style="medium">
        <color rgb="FF0033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5" fillId="0" borderId="0" xfId="0" applyFont="1"/>
    <xf numFmtId="43" fontId="2" fillId="0" borderId="0" xfId="1" applyFont="1"/>
    <xf numFmtId="0" fontId="2" fillId="0" borderId="0" xfId="0" applyFont="1" applyFill="1"/>
    <xf numFmtId="4" fontId="2" fillId="0" borderId="0" xfId="0" applyNumberFormat="1" applyFont="1"/>
    <xf numFmtId="43" fontId="3" fillId="0" borderId="0" xfId="1" applyFont="1"/>
    <xf numFmtId="0" fontId="3" fillId="0" borderId="0" xfId="0" applyFont="1"/>
    <xf numFmtId="43" fontId="3" fillId="0" borderId="0" xfId="0" applyNumberFormat="1" applyFont="1"/>
    <xf numFmtId="43" fontId="3" fillId="0" borderId="0" xfId="1" applyFont="1" applyFill="1"/>
    <xf numFmtId="43" fontId="3" fillId="0" borderId="0" xfId="0" applyNumberFormat="1" applyFont="1" applyFill="1"/>
    <xf numFmtId="43" fontId="9" fillId="0" borderId="0" xfId="1" applyFont="1"/>
    <xf numFmtId="43" fontId="10" fillId="0" borderId="0" xfId="1" applyFont="1"/>
    <xf numFmtId="43" fontId="10" fillId="0" borderId="7" xfId="1" applyFont="1" applyBorder="1"/>
    <xf numFmtId="43" fontId="12" fillId="0" borderId="0" xfId="1" applyFont="1"/>
    <xf numFmtId="43" fontId="13" fillId="0" borderId="0" xfId="1" applyFont="1"/>
    <xf numFmtId="43" fontId="14" fillId="0" borderId="0" xfId="1" applyFont="1"/>
    <xf numFmtId="43" fontId="15" fillId="0" borderId="0" xfId="1" applyFont="1"/>
    <xf numFmtId="43" fontId="16" fillId="0" borderId="0" xfId="1" applyFont="1"/>
    <xf numFmtId="43" fontId="17" fillId="0" borderId="5" xfId="1" applyFont="1" applyBorder="1" applyAlignment="1">
      <alignment horizontal="center"/>
    </xf>
    <xf numFmtId="0" fontId="2" fillId="0" borderId="8" xfId="0" applyFont="1" applyFill="1" applyBorder="1"/>
    <xf numFmtId="0" fontId="5" fillId="0" borderId="9" xfId="0" applyFont="1" applyFill="1" applyBorder="1"/>
    <xf numFmtId="0" fontId="2" fillId="0" borderId="10" xfId="0" applyFont="1" applyBorder="1"/>
    <xf numFmtId="0" fontId="5" fillId="0" borderId="11" xfId="0" applyFont="1" applyBorder="1"/>
    <xf numFmtId="0" fontId="11" fillId="0" borderId="11" xfId="0" applyFont="1" applyBorder="1"/>
    <xf numFmtId="0" fontId="2" fillId="0" borderId="12" xfId="0" applyFont="1" applyBorder="1"/>
    <xf numFmtId="0" fontId="5" fillId="0" borderId="13" xfId="0" applyFont="1" applyBorder="1"/>
    <xf numFmtId="43" fontId="9" fillId="0" borderId="14" xfId="1" applyFont="1" applyFill="1" applyBorder="1"/>
    <xf numFmtId="43" fontId="10" fillId="0" borderId="14" xfId="1" applyFont="1" applyFill="1" applyBorder="1"/>
    <xf numFmtId="43" fontId="9" fillId="0" borderId="15" xfId="1" applyFont="1" applyBorder="1"/>
    <xf numFmtId="43" fontId="10" fillId="0" borderId="15" xfId="1" applyFont="1" applyBorder="1"/>
    <xf numFmtId="43" fontId="9" fillId="0" borderId="16" xfId="1" applyFont="1" applyBorder="1"/>
    <xf numFmtId="43" fontId="10" fillId="0" borderId="16" xfId="1" applyFont="1" applyBorder="1"/>
    <xf numFmtId="43" fontId="4" fillId="0" borderId="15" xfId="1" applyFont="1" applyBorder="1"/>
    <xf numFmtId="0" fontId="18" fillId="0" borderId="0" xfId="0" applyFont="1"/>
    <xf numFmtId="43" fontId="2" fillId="0" borderId="0" xfId="0" applyNumberFormat="1" applyFont="1"/>
    <xf numFmtId="0" fontId="19" fillId="0" borderId="10" xfId="0" applyFont="1" applyBorder="1"/>
    <xf numFmtId="0" fontId="20" fillId="0" borderId="11" xfId="0" applyFont="1" applyBorder="1"/>
    <xf numFmtId="43" fontId="21" fillId="0" borderId="15" xfId="1" applyFont="1" applyBorder="1"/>
    <xf numFmtId="43" fontId="22" fillId="0" borderId="15" xfId="1" applyFont="1" applyBorder="1"/>
    <xf numFmtId="43" fontId="23" fillId="0" borderId="0" xfId="1" applyFont="1"/>
    <xf numFmtId="43" fontId="23" fillId="0" borderId="0" xfId="0" applyNumberFormat="1" applyFont="1"/>
    <xf numFmtId="0" fontId="19" fillId="0" borderId="0" xfId="0" applyFont="1"/>
    <xf numFmtId="43" fontId="14" fillId="0" borderId="0" xfId="1" applyFont="1" applyAlignment="1">
      <alignment horizontal="left"/>
    </xf>
    <xf numFmtId="43" fontId="10" fillId="0" borderId="18" xfId="1" applyFont="1" applyBorder="1"/>
    <xf numFmtId="43" fontId="10" fillId="0" borderId="17" xfId="1" applyFont="1" applyBorder="1"/>
    <xf numFmtId="43" fontId="14" fillId="0" borderId="0" xfId="1" applyFont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3" fontId="3" fillId="0" borderId="3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3" fontId="6" fillId="0" borderId="2" xfId="1" applyFont="1" applyBorder="1" applyAlignment="1">
      <alignment horizontal="center"/>
    </xf>
    <xf numFmtId="43" fontId="15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-0.499984740745262"/>
  </sheetPr>
  <dimension ref="A1:T41"/>
  <sheetViews>
    <sheetView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B27" sqref="B27"/>
    </sheetView>
  </sheetViews>
  <sheetFormatPr defaultColWidth="9.140625" defaultRowHeight="12" x14ac:dyDescent="0.2"/>
  <cols>
    <col min="1" max="1" width="1.42578125" style="1" customWidth="1"/>
    <col min="2" max="2" width="21.85546875" style="2" customWidth="1"/>
    <col min="3" max="3" width="10.85546875" style="3" bestFit="1" customWidth="1"/>
    <col min="4" max="4" width="13" style="3" customWidth="1"/>
    <col min="5" max="5" width="10.85546875" style="3" bestFit="1" customWidth="1"/>
    <col min="6" max="6" width="11.7109375" style="3" bestFit="1" customWidth="1"/>
    <col min="7" max="7" width="10.5703125" style="3" customWidth="1"/>
    <col min="8" max="8" width="11.5703125" style="3" customWidth="1"/>
    <col min="9" max="9" width="9.28515625" style="3" customWidth="1"/>
    <col min="10" max="10" width="9.42578125" style="3" customWidth="1"/>
    <col min="11" max="11" width="9.85546875" style="3" customWidth="1"/>
    <col min="12" max="12" width="9.28515625" style="3" customWidth="1"/>
    <col min="13" max="13" width="11.5703125" style="3" customWidth="1"/>
    <col min="14" max="14" width="10" style="3" customWidth="1"/>
    <col min="15" max="15" width="11.5703125" style="6" customWidth="1"/>
    <col min="16" max="16" width="12.140625" style="6" hidden="1" customWidth="1"/>
    <col min="17" max="17" width="13.28515625" style="7" hidden="1" customWidth="1"/>
    <col min="18" max="18" width="12.42578125" style="1" hidden="1" customWidth="1"/>
    <col min="19" max="19" width="0" style="1" hidden="1" customWidth="1"/>
    <col min="20" max="20" width="13.5703125" style="1" bestFit="1" customWidth="1"/>
    <col min="21" max="16384" width="9.140625" style="1"/>
  </cols>
  <sheetData>
    <row r="1" spans="1:17" ht="16.149999999999999" x14ac:dyDescent="0.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x14ac:dyDescent="0.25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7" x14ac:dyDescent="0.25"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7" ht="12.6" thickBot="1" x14ac:dyDescent="0.3"/>
    <row r="5" spans="1:17" ht="15" customHeight="1" x14ac:dyDescent="0.2">
      <c r="A5" s="55" t="s">
        <v>3</v>
      </c>
      <c r="B5" s="56"/>
      <c r="C5" s="59" t="s">
        <v>16</v>
      </c>
      <c r="D5" s="59"/>
      <c r="E5" s="59"/>
      <c r="F5" s="59" t="s">
        <v>17</v>
      </c>
      <c r="G5" s="59"/>
      <c r="H5" s="59"/>
      <c r="I5" s="59" t="s">
        <v>18</v>
      </c>
      <c r="J5" s="59"/>
      <c r="K5" s="59"/>
      <c r="L5" s="59" t="s">
        <v>19</v>
      </c>
      <c r="M5" s="59"/>
      <c r="N5" s="59"/>
      <c r="O5" s="53" t="s">
        <v>20</v>
      </c>
    </row>
    <row r="6" spans="1:17" ht="15.75" customHeight="1" thickBot="1" x14ac:dyDescent="0.25">
      <c r="A6" s="57"/>
      <c r="B6" s="58"/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54"/>
      <c r="P6" s="6">
        <v>1659565</v>
      </c>
      <c r="Q6" s="8"/>
    </row>
    <row r="7" spans="1:17" s="4" customFormat="1" ht="13.5" customHeight="1" x14ac:dyDescent="0.25">
      <c r="A7" s="20"/>
      <c r="B7" s="21" t="s">
        <v>21</v>
      </c>
      <c r="C7" s="27">
        <v>0</v>
      </c>
      <c r="D7" s="27">
        <v>0</v>
      </c>
      <c r="E7" s="27">
        <v>400</v>
      </c>
      <c r="F7" s="27">
        <f>365925-400</f>
        <v>365525</v>
      </c>
      <c r="G7" s="27">
        <f>366525-365925</f>
        <v>600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8">
        <f>SUM(C7:N7)</f>
        <v>366525</v>
      </c>
      <c r="P7" s="9">
        <v>366525</v>
      </c>
      <c r="Q7" s="10">
        <f>O7-P7</f>
        <v>0</v>
      </c>
    </row>
    <row r="8" spans="1:17" ht="13.5" customHeight="1" x14ac:dyDescent="0.25">
      <c r="A8" s="51" t="s">
        <v>41</v>
      </c>
      <c r="B8" s="5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Q8" s="8">
        <f t="shared" ref="Q8:Q30" si="0">O8-P8</f>
        <v>0</v>
      </c>
    </row>
    <row r="9" spans="1:17" ht="13.5" customHeight="1" x14ac:dyDescent="0.25">
      <c r="A9" s="22"/>
      <c r="B9" s="23" t="s">
        <v>22</v>
      </c>
      <c r="C9" s="29">
        <v>0</v>
      </c>
      <c r="D9" s="29">
        <v>0</v>
      </c>
      <c r="E9" s="29">
        <v>100</v>
      </c>
      <c r="F9" s="29">
        <v>0</v>
      </c>
      <c r="G9" s="29">
        <f>972695.5-100</f>
        <v>972595.5</v>
      </c>
      <c r="H9" s="29">
        <f>2944116-972695.5</f>
        <v>1971420.5</v>
      </c>
      <c r="I9" s="29">
        <v>0</v>
      </c>
      <c r="J9" s="29">
        <v>0</v>
      </c>
      <c r="K9" s="29">
        <v>0</v>
      </c>
      <c r="L9" s="29">
        <v>0</v>
      </c>
      <c r="M9" s="29">
        <f>7498359.75-2944116-2490206.25-134640-107700</f>
        <v>1821697.5</v>
      </c>
      <c r="N9" s="29">
        <f>7498359.75-2490206.25-134640-107700-4765813.5</f>
        <v>0</v>
      </c>
      <c r="O9" s="30">
        <f t="shared" ref="O9:O28" si="1">SUM(C9:N9)</f>
        <v>4765813.5</v>
      </c>
      <c r="P9" s="6">
        <v>4765813.5</v>
      </c>
      <c r="Q9" s="8">
        <f t="shared" si="0"/>
        <v>0</v>
      </c>
    </row>
    <row r="10" spans="1:17" ht="13.5" customHeight="1" x14ac:dyDescent="0.25">
      <c r="A10" s="22"/>
      <c r="B10" s="23" t="s">
        <v>23</v>
      </c>
      <c r="C10" s="29">
        <v>0</v>
      </c>
      <c r="D10" s="29">
        <v>0</v>
      </c>
      <c r="E10" s="33">
        <v>2200</v>
      </c>
      <c r="F10" s="29">
        <f>2800-2200</f>
        <v>600</v>
      </c>
      <c r="G10" s="29">
        <f>2800-2800</f>
        <v>0</v>
      </c>
      <c r="H10" s="29">
        <f>1871720-2800</f>
        <v>1868920</v>
      </c>
      <c r="I10" s="29">
        <v>0</v>
      </c>
      <c r="J10" s="29">
        <v>0</v>
      </c>
      <c r="K10" s="29">
        <v>0</v>
      </c>
      <c r="L10" s="29">
        <v>0</v>
      </c>
      <c r="M10" s="29">
        <f>3597040-1871720-83076-294576-118416-45858-282930-98754-50574-738-240</f>
        <v>750158</v>
      </c>
      <c r="N10" s="29"/>
      <c r="O10" s="30">
        <f t="shared" si="1"/>
        <v>2621878</v>
      </c>
      <c r="P10" s="6">
        <v>2621878</v>
      </c>
      <c r="Q10" s="8">
        <f t="shared" si="0"/>
        <v>0</v>
      </c>
    </row>
    <row r="11" spans="1:17" ht="13.5" customHeight="1" x14ac:dyDescent="0.25">
      <c r="A11" s="22"/>
      <c r="B11" s="23" t="s">
        <v>24</v>
      </c>
      <c r="C11" s="29">
        <v>24080</v>
      </c>
      <c r="D11" s="29">
        <f>56850-24080</f>
        <v>32770</v>
      </c>
      <c r="E11" s="29">
        <f>93100-56850</f>
        <v>36250</v>
      </c>
      <c r="F11" s="29">
        <f>215950-93100</f>
        <v>122850</v>
      </c>
      <c r="G11" s="29">
        <f>253050-215950</f>
        <v>37100</v>
      </c>
      <c r="H11" s="29">
        <f>396375-253050</f>
        <v>143325</v>
      </c>
      <c r="I11" s="29">
        <f>420190-396375</f>
        <v>23815</v>
      </c>
      <c r="J11" s="29">
        <f>434365-420190</f>
        <v>14175</v>
      </c>
      <c r="K11" s="29">
        <f>450565-434365</f>
        <v>16200</v>
      </c>
      <c r="L11" s="29">
        <f>468315-450565</f>
        <v>17750</v>
      </c>
      <c r="M11" s="29">
        <f>620565-468315</f>
        <v>152250</v>
      </c>
      <c r="N11" s="29">
        <f>634635-620565</f>
        <v>14070</v>
      </c>
      <c r="O11" s="30">
        <f t="shared" si="1"/>
        <v>634635</v>
      </c>
      <c r="P11" s="6">
        <v>634635</v>
      </c>
      <c r="Q11" s="8">
        <f t="shared" si="0"/>
        <v>0</v>
      </c>
    </row>
    <row r="12" spans="1:17" ht="13.5" customHeight="1" x14ac:dyDescent="0.25">
      <c r="A12" s="22"/>
      <c r="B12" s="23" t="s">
        <v>25</v>
      </c>
      <c r="C12" s="29">
        <v>0</v>
      </c>
      <c r="D12" s="29">
        <v>0</v>
      </c>
      <c r="E12" s="29">
        <v>0</v>
      </c>
      <c r="F12" s="29">
        <f>29050</f>
        <v>29050</v>
      </c>
      <c r="G12" s="29">
        <f>33700-29050</f>
        <v>4650</v>
      </c>
      <c r="H12" s="29">
        <f>43000-33700</f>
        <v>9300</v>
      </c>
      <c r="I12" s="29">
        <f>43000-43000</f>
        <v>0</v>
      </c>
      <c r="J12" s="29">
        <f>43200-43000</f>
        <v>200</v>
      </c>
      <c r="K12" s="29">
        <f>57050-43200</f>
        <v>13850</v>
      </c>
      <c r="L12" s="29">
        <f>117750-57050</f>
        <v>60700</v>
      </c>
      <c r="M12" s="29">
        <f>283400-117750</f>
        <v>165650</v>
      </c>
      <c r="N12" s="29">
        <f>350200-283400</f>
        <v>66800</v>
      </c>
      <c r="O12" s="30">
        <f t="shared" si="1"/>
        <v>350200</v>
      </c>
      <c r="P12" s="6">
        <v>350200</v>
      </c>
      <c r="Q12" s="8">
        <f t="shared" si="0"/>
        <v>0</v>
      </c>
    </row>
    <row r="13" spans="1:17" ht="13.5" customHeight="1" x14ac:dyDescent="0.25">
      <c r="A13" s="22"/>
      <c r="B13" s="23" t="s">
        <v>26</v>
      </c>
      <c r="C13" s="29">
        <v>23200</v>
      </c>
      <c r="D13" s="29">
        <f>32050-23200</f>
        <v>8850</v>
      </c>
      <c r="E13" s="29">
        <f>101800-32050</f>
        <v>69750</v>
      </c>
      <c r="F13" s="29">
        <f>586600-101800</f>
        <v>484800</v>
      </c>
      <c r="G13" s="29">
        <f>603900-586600</f>
        <v>17300</v>
      </c>
      <c r="H13" s="29">
        <f>630050-603900</f>
        <v>26150</v>
      </c>
      <c r="I13" s="29">
        <f>651750-630050</f>
        <v>21700</v>
      </c>
      <c r="J13" s="29">
        <f>656950-651750</f>
        <v>5200</v>
      </c>
      <c r="K13" s="29">
        <f>661400-656950</f>
        <v>4450</v>
      </c>
      <c r="L13" s="29">
        <f>675100-661400</f>
        <v>13700</v>
      </c>
      <c r="M13" s="29">
        <f>697350-675100</f>
        <v>22250</v>
      </c>
      <c r="N13" s="29">
        <f>706450-697350</f>
        <v>9100</v>
      </c>
      <c r="O13" s="30">
        <f t="shared" si="1"/>
        <v>706450</v>
      </c>
      <c r="P13" s="6">
        <v>706450</v>
      </c>
      <c r="Q13" s="8">
        <f t="shared" si="0"/>
        <v>0</v>
      </c>
    </row>
    <row r="14" spans="1:17" ht="13.5" customHeight="1" x14ac:dyDescent="0.25">
      <c r="A14" s="22"/>
      <c r="B14" s="23" t="s">
        <v>27</v>
      </c>
      <c r="C14" s="29">
        <v>0</v>
      </c>
      <c r="D14" s="29">
        <v>0</v>
      </c>
      <c r="E14" s="29">
        <v>0</v>
      </c>
      <c r="F14" s="29">
        <v>0</v>
      </c>
      <c r="G14" s="29">
        <v>163000</v>
      </c>
      <c r="H14" s="29">
        <f>930650-163000</f>
        <v>767650</v>
      </c>
      <c r="I14" s="29">
        <f>933795-930650</f>
        <v>3145</v>
      </c>
      <c r="J14" s="29">
        <f>933795-933795</f>
        <v>0</v>
      </c>
      <c r="K14" s="29">
        <f>933815-933795</f>
        <v>20</v>
      </c>
      <c r="L14" s="29">
        <f>933815-933815</f>
        <v>0</v>
      </c>
      <c r="M14" s="29">
        <f>1659565-933815-28500-107220-39480-13620-95160-38160-19320-58860-14130-180-240</f>
        <v>310880</v>
      </c>
      <c r="N14" s="29">
        <v>0</v>
      </c>
      <c r="O14" s="30">
        <f t="shared" si="1"/>
        <v>1244695</v>
      </c>
      <c r="P14" s="6">
        <v>1244695</v>
      </c>
      <c r="Q14" s="8">
        <f t="shared" si="0"/>
        <v>0</v>
      </c>
    </row>
    <row r="15" spans="1:17" ht="13.5" customHeight="1" x14ac:dyDescent="0.25">
      <c r="A15" s="22"/>
      <c r="B15" s="24" t="s">
        <v>28</v>
      </c>
      <c r="C15" s="29">
        <v>400</v>
      </c>
      <c r="D15" s="29">
        <f>400-400</f>
        <v>0</v>
      </c>
      <c r="E15" s="29">
        <f>735-400</f>
        <v>335</v>
      </c>
      <c r="F15" s="29">
        <f>164922.5-735</f>
        <v>164187.5</v>
      </c>
      <c r="G15" s="29">
        <f>339810-164922.5</f>
        <v>174887.5</v>
      </c>
      <c r="H15" s="29">
        <f>2548297.5-339810</f>
        <v>2208487.5</v>
      </c>
      <c r="I15" s="29">
        <f>2548297.5-2548297.5</f>
        <v>0</v>
      </c>
      <c r="J15" s="29">
        <f>2548297.5-2548297.5</f>
        <v>0</v>
      </c>
      <c r="K15" s="29">
        <f>2548297.5-2548297.5</f>
        <v>0</v>
      </c>
      <c r="L15" s="29">
        <f>2548297.5-2548297.5</f>
        <v>0</v>
      </c>
      <c r="M15" s="29">
        <f>4534010-2548297.5-65175-118882.5-139395-68257.5-442995-109755-78892.5-48960-9420-90-120</f>
        <v>903770</v>
      </c>
      <c r="N15" s="30">
        <v>0</v>
      </c>
      <c r="O15" s="30">
        <f t="shared" si="1"/>
        <v>3452067.5</v>
      </c>
      <c r="P15" s="6">
        <v>3452067.5</v>
      </c>
      <c r="Q15" s="8">
        <f t="shared" si="0"/>
        <v>0</v>
      </c>
    </row>
    <row r="16" spans="1:17" ht="13.5" customHeight="1" x14ac:dyDescent="0.25">
      <c r="A16" s="22"/>
      <c r="B16" s="23" t="s">
        <v>29</v>
      </c>
      <c r="C16" s="29">
        <v>25250</v>
      </c>
      <c r="D16" s="29">
        <f>39600-25250</f>
        <v>14350</v>
      </c>
      <c r="E16" s="29">
        <f>87000-39600</f>
        <v>47400</v>
      </c>
      <c r="F16" s="29">
        <f>382760-87000</f>
        <v>295760</v>
      </c>
      <c r="G16" s="29">
        <f>444200-382760</f>
        <v>61440</v>
      </c>
      <c r="H16" s="29">
        <f>497100-444200</f>
        <v>52900</v>
      </c>
      <c r="I16" s="29">
        <f>522900-497100</f>
        <v>25800</v>
      </c>
      <c r="J16" s="29">
        <f>534500-522900</f>
        <v>11600</v>
      </c>
      <c r="K16" s="29">
        <f>544200-534500</f>
        <v>9700</v>
      </c>
      <c r="L16" s="29">
        <f>560150-544200</f>
        <v>15950</v>
      </c>
      <c r="M16" s="29">
        <f>583350-560150</f>
        <v>23200</v>
      </c>
      <c r="N16" s="29">
        <f>594900-583350</f>
        <v>11550</v>
      </c>
      <c r="O16" s="30">
        <f t="shared" si="1"/>
        <v>594900</v>
      </c>
      <c r="P16" s="6">
        <v>594900</v>
      </c>
      <c r="Q16" s="8">
        <f t="shared" si="0"/>
        <v>0</v>
      </c>
    </row>
    <row r="17" spans="1:20" ht="13.5" customHeight="1" x14ac:dyDescent="0.25">
      <c r="A17" s="22"/>
      <c r="B17" s="23" t="s">
        <v>30</v>
      </c>
      <c r="C17" s="29">
        <v>7010</v>
      </c>
      <c r="D17" s="29">
        <f>9842-C17</f>
        <v>2832</v>
      </c>
      <c r="E17" s="29">
        <f>14384-9842</f>
        <v>4542</v>
      </c>
      <c r="F17" s="29">
        <f>52846-14384</f>
        <v>38462</v>
      </c>
      <c r="G17" s="29">
        <f>877161.8-52846</f>
        <v>824315.8</v>
      </c>
      <c r="H17" s="29">
        <f>4762360.8-877161.8</f>
        <v>3885199</v>
      </c>
      <c r="I17" s="29">
        <f>4854176.8-4762360.8</f>
        <v>91816</v>
      </c>
      <c r="J17" s="29">
        <f>4914449.8-4854176.8</f>
        <v>60273</v>
      </c>
      <c r="K17" s="29">
        <f>5006701.8-4914449.8</f>
        <v>92252</v>
      </c>
      <c r="L17" s="29">
        <f>5222570.8-5006701.8</f>
        <v>215869</v>
      </c>
      <c r="M17" s="29">
        <f>7963572.3-5222570.8-R18</f>
        <v>1708771.5</v>
      </c>
      <c r="N17" s="29">
        <v>124020</v>
      </c>
      <c r="O17" s="30">
        <f t="shared" si="1"/>
        <v>7055362.2999999998</v>
      </c>
      <c r="P17" s="6">
        <v>7055362.2999999998</v>
      </c>
      <c r="Q17" s="8">
        <f t="shared" si="0"/>
        <v>0</v>
      </c>
      <c r="R17" s="3"/>
    </row>
    <row r="18" spans="1:20" ht="13.5" customHeight="1" x14ac:dyDescent="0.25">
      <c r="A18" s="51" t="s">
        <v>42</v>
      </c>
      <c r="B18" s="5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Q18" s="8">
        <f t="shared" si="0"/>
        <v>0</v>
      </c>
      <c r="R18" s="1">
        <f>100+100+54360+314640+77040+29250+189510+73350+32400+103350+157500+270+360</f>
        <v>1032230</v>
      </c>
      <c r="S18" s="1">
        <f>2332+1086+31500+10960+4436+1650+2350+700+650+20000+1100+1458+750+200+250+7400+8822+3100+22026+700+1350+1100+100</f>
        <v>124020</v>
      </c>
    </row>
    <row r="19" spans="1:20" ht="13.5" customHeight="1" x14ac:dyDescent="0.25">
      <c r="A19" s="22"/>
      <c r="B19" s="23" t="s">
        <v>31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/>
      <c r="I19" s="29"/>
      <c r="J19" s="29"/>
      <c r="K19" s="29"/>
      <c r="L19" s="29"/>
      <c r="M19" s="29"/>
      <c r="N19" s="29"/>
      <c r="O19" s="30">
        <f t="shared" si="1"/>
        <v>0</v>
      </c>
      <c r="Q19" s="8">
        <f t="shared" si="0"/>
        <v>0</v>
      </c>
    </row>
    <row r="20" spans="1:20" ht="13.5" customHeight="1" x14ac:dyDescent="0.25">
      <c r="A20" s="22"/>
      <c r="B20" s="24" t="s">
        <v>32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>
        <f t="shared" si="1"/>
        <v>0</v>
      </c>
      <c r="Q20" s="8">
        <f t="shared" si="0"/>
        <v>0</v>
      </c>
    </row>
    <row r="21" spans="1:20" ht="13.5" customHeight="1" x14ac:dyDescent="0.25">
      <c r="A21" s="22"/>
      <c r="B21" s="23" t="s">
        <v>33</v>
      </c>
      <c r="C21" s="29">
        <v>0</v>
      </c>
      <c r="D21" s="29">
        <v>0</v>
      </c>
      <c r="E21" s="29">
        <v>0</v>
      </c>
      <c r="F21" s="29">
        <v>0</v>
      </c>
      <c r="G21" s="29">
        <v>10100</v>
      </c>
      <c r="H21" s="29">
        <f>20600-10100</f>
        <v>10500</v>
      </c>
      <c r="I21" s="29">
        <f>31180-20600</f>
        <v>10580</v>
      </c>
      <c r="J21" s="29">
        <f>41730-31180</f>
        <v>10550</v>
      </c>
      <c r="K21" s="29">
        <f>45050-41730</f>
        <v>3320</v>
      </c>
      <c r="L21" s="29">
        <f>91590-45050</f>
        <v>46540</v>
      </c>
      <c r="M21" s="29">
        <f>103440-91590</f>
        <v>11850</v>
      </c>
      <c r="N21" s="29">
        <f>117280-103440</f>
        <v>13840</v>
      </c>
      <c r="O21" s="30">
        <f t="shared" si="1"/>
        <v>117280</v>
      </c>
      <c r="P21" s="6">
        <v>117280</v>
      </c>
      <c r="Q21" s="8">
        <f t="shared" si="0"/>
        <v>0</v>
      </c>
    </row>
    <row r="22" spans="1:20" ht="13.5" customHeight="1" x14ac:dyDescent="0.25">
      <c r="A22" s="22"/>
      <c r="B22" s="23" t="s">
        <v>34</v>
      </c>
      <c r="C22" s="29">
        <v>609027.24</v>
      </c>
      <c r="D22" s="29">
        <f>1187452.73-C22</f>
        <v>578425.49</v>
      </c>
      <c r="E22" s="29">
        <f>2194053.35-1187452.73</f>
        <v>1006600.6200000001</v>
      </c>
      <c r="F22" s="29">
        <f>3741452.29-2194053.35</f>
        <v>1547398.94</v>
      </c>
      <c r="G22" s="29">
        <f>4690935.23-3741452.29</f>
        <v>949482.94000000041</v>
      </c>
      <c r="H22" s="29">
        <f>5405335.45-4690935.23</f>
        <v>714400.21999999974</v>
      </c>
      <c r="I22" s="29">
        <f>5890136.59-5405335.45</f>
        <v>484801.13999999966</v>
      </c>
      <c r="J22" s="29">
        <f>6333714.55-5890136.59</f>
        <v>443577.95999999996</v>
      </c>
      <c r="K22" s="29">
        <f>6824065.75-6333714.55</f>
        <v>490351.20000000019</v>
      </c>
      <c r="L22" s="29">
        <f>7270584.93-6824065.75</f>
        <v>446519.1799999997</v>
      </c>
      <c r="M22" s="29">
        <f>7745251.51-7270584.93</f>
        <v>474666.58000000007</v>
      </c>
      <c r="N22" s="29">
        <f>8268895.37-7745251.51</f>
        <v>523643.86000000034</v>
      </c>
      <c r="O22" s="30">
        <f t="shared" si="1"/>
        <v>8268895.3700000001</v>
      </c>
      <c r="P22" s="6">
        <v>8268895.3700000001</v>
      </c>
      <c r="Q22" s="8">
        <f t="shared" si="0"/>
        <v>0</v>
      </c>
      <c r="R22" s="5"/>
    </row>
    <row r="23" spans="1:20" ht="13.5" customHeight="1" x14ac:dyDescent="0.25">
      <c r="A23" s="22"/>
      <c r="B23" s="23" t="s">
        <v>35</v>
      </c>
      <c r="C23" s="29">
        <v>2522981.75</v>
      </c>
      <c r="D23" s="29">
        <f>4398178.75-2522981.75</f>
        <v>1875197</v>
      </c>
      <c r="E23" s="29">
        <f>5667509.25-4398178.75</f>
        <v>1269330.5</v>
      </c>
      <c r="F23" s="29">
        <f>13001580.2-5667509.25</f>
        <v>7334070.9499999993</v>
      </c>
      <c r="G23" s="29">
        <f>14590599.2-13001580.2</f>
        <v>1589019</v>
      </c>
      <c r="H23" s="29">
        <f>31643207.2-14590599.2-63107.25-19206-50-11323</f>
        <v>16958921.75</v>
      </c>
      <c r="I23" s="29">
        <v>0</v>
      </c>
      <c r="J23" s="29">
        <v>0</v>
      </c>
      <c r="K23" s="29">
        <v>0</v>
      </c>
      <c r="L23" s="29">
        <v>0</v>
      </c>
      <c r="M23" s="29">
        <f>47309012.95-31549520.95-801.5-3000-951.5-150-225-325-1305-116.5-300-140.5-450-1453-1303-145-150-225-1080277.5-2529247.5-860017.5-328200-2019277.5-725422.5-329715-761190-322650-2700-270</f>
        <v>6789483.5000000037</v>
      </c>
      <c r="N23" s="29"/>
      <c r="O23" s="30">
        <f t="shared" si="1"/>
        <v>38339004.450000003</v>
      </c>
      <c r="P23" s="6">
        <v>38339004.450000003</v>
      </c>
      <c r="Q23" s="8">
        <f t="shared" si="0"/>
        <v>0</v>
      </c>
      <c r="R23" s="5"/>
      <c r="S23" s="5"/>
      <c r="T23" s="5"/>
    </row>
    <row r="24" spans="1:20" ht="13.5" customHeight="1" x14ac:dyDescent="0.25">
      <c r="A24" s="22"/>
      <c r="B24" s="23" t="s">
        <v>36</v>
      </c>
      <c r="C24" s="29">
        <v>275579.89</v>
      </c>
      <c r="D24" s="29">
        <f>388076.03-C24</f>
        <v>112496.14000000001</v>
      </c>
      <c r="E24" s="29">
        <f>1146263.63-388076.03</f>
        <v>758187.59999999986</v>
      </c>
      <c r="F24" s="29">
        <f>3593652.96-1146263.63</f>
        <v>2447389.33</v>
      </c>
      <c r="G24" s="29">
        <f>3633427.96-3593652.96</f>
        <v>39775</v>
      </c>
      <c r="H24" s="29">
        <f>3634597.96-3633427.96</f>
        <v>1170</v>
      </c>
      <c r="I24" s="29">
        <f>3641647.96-3634597.96</f>
        <v>7050</v>
      </c>
      <c r="J24" s="29">
        <f>3652607.96-3641647.96</f>
        <v>10960</v>
      </c>
      <c r="K24" s="29">
        <f>3663237.96-3652607.96</f>
        <v>10630</v>
      </c>
      <c r="L24" s="29">
        <f>3800137.96-3663237.96-6475-6475-71900</f>
        <v>52050</v>
      </c>
      <c r="M24" s="29">
        <f>3820982.96-3800137.96</f>
        <v>20845</v>
      </c>
      <c r="N24" s="29">
        <f>220+100+110+100+100+100+130+140+100+100+100+760+100+350+400+400+800+2500+300+1100+3075+200+300+190+100+100+100+100+350+100+240+100+100+800+100+100</f>
        <v>14065</v>
      </c>
      <c r="O24" s="30">
        <f t="shared" si="1"/>
        <v>3750197.96</v>
      </c>
      <c r="P24" s="6">
        <v>3750197.96</v>
      </c>
      <c r="Q24" s="8">
        <f t="shared" si="0"/>
        <v>0</v>
      </c>
    </row>
    <row r="25" spans="1:20" ht="13.5" customHeight="1" x14ac:dyDescent="0.25">
      <c r="A25" s="51" t="s">
        <v>43</v>
      </c>
      <c r="B25" s="5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>
        <f t="shared" si="1"/>
        <v>0</v>
      </c>
      <c r="Q25" s="8">
        <f t="shared" si="0"/>
        <v>0</v>
      </c>
    </row>
    <row r="26" spans="1:20" ht="13.5" customHeight="1" x14ac:dyDescent="0.25">
      <c r="A26" s="22"/>
      <c r="B26" s="23" t="s">
        <v>37</v>
      </c>
      <c r="C26" s="29">
        <v>2564.59</v>
      </c>
      <c r="D26" s="29">
        <v>0</v>
      </c>
      <c r="E26" s="29">
        <v>0</v>
      </c>
      <c r="F26" s="29">
        <v>0</v>
      </c>
      <c r="G26" s="29">
        <f>12570.82-2564.59</f>
        <v>10006.23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f>64560.48-12570.82</f>
        <v>51989.66</v>
      </c>
      <c r="O26" s="30">
        <f t="shared" si="1"/>
        <v>64560.480000000003</v>
      </c>
      <c r="P26" s="6">
        <v>64560.480000000003</v>
      </c>
      <c r="Q26" s="8">
        <f t="shared" si="0"/>
        <v>0</v>
      </c>
    </row>
    <row r="27" spans="1:20" s="42" customFormat="1" ht="13.5" customHeight="1" x14ac:dyDescent="0.25">
      <c r="A27" s="36"/>
      <c r="B27" s="37" t="s">
        <v>38</v>
      </c>
      <c r="C27" s="38">
        <v>0</v>
      </c>
      <c r="D27" s="38">
        <v>0</v>
      </c>
      <c r="E27" s="38">
        <v>0</v>
      </c>
      <c r="F27" s="38">
        <v>0</v>
      </c>
      <c r="G27" s="38">
        <v>125217.79</v>
      </c>
      <c r="H27" s="38">
        <f>140479.43-125217.79</f>
        <v>15261.64</v>
      </c>
      <c r="I27" s="38">
        <f>144881.61-140479.43</f>
        <v>4402.179999999993</v>
      </c>
      <c r="J27" s="38">
        <f>254437.75-144881.61</f>
        <v>109556.14000000001</v>
      </c>
      <c r="K27" s="38">
        <f>325507.67-254437.75</f>
        <v>71069.919999999984</v>
      </c>
      <c r="L27" s="38">
        <f>403701.91-325507.67</f>
        <v>78194.239999999991</v>
      </c>
      <c r="M27" s="38">
        <f>778536.89-403701.91</f>
        <v>374834.98000000004</v>
      </c>
      <c r="N27" s="38">
        <f>802399.76-778536.89</f>
        <v>23862.869999999995</v>
      </c>
      <c r="O27" s="39">
        <f t="shared" si="1"/>
        <v>802399.76</v>
      </c>
      <c r="P27" s="40">
        <v>802399.76</v>
      </c>
      <c r="Q27" s="41">
        <f t="shared" si="0"/>
        <v>0</v>
      </c>
    </row>
    <row r="28" spans="1:20" ht="13.5" customHeight="1" x14ac:dyDescent="0.25">
      <c r="A28" s="25"/>
      <c r="B28" s="26" t="s">
        <v>39</v>
      </c>
      <c r="C28" s="31">
        <v>1284.06</v>
      </c>
      <c r="D28" s="31">
        <f>2550.95-1284.06</f>
        <v>1266.8899999999999</v>
      </c>
      <c r="E28" s="31">
        <f>9899.87-2550.95</f>
        <v>7348.920000000001</v>
      </c>
      <c r="F28" s="31">
        <f>13544.86-9899.87</f>
        <v>3644.99</v>
      </c>
      <c r="G28" s="31">
        <f>17080.43-13544.86</f>
        <v>3535.5699999999997</v>
      </c>
      <c r="H28" s="31">
        <f>20813.86-17080.43</f>
        <v>3733.4300000000003</v>
      </c>
      <c r="I28" s="31">
        <f>24571.92-20813.86</f>
        <v>3758.0599999999977</v>
      </c>
      <c r="J28" s="31">
        <f>28176.34-24571.92</f>
        <v>3604.4200000000019</v>
      </c>
      <c r="K28" s="31">
        <f>34425.85-28176.34</f>
        <v>6249.5099999999984</v>
      </c>
      <c r="L28" s="31">
        <f>38049.05-34425.85</f>
        <v>3623.2000000000044</v>
      </c>
      <c r="M28" s="31">
        <f>39083.61-38049.05</f>
        <v>1034.5599999999977</v>
      </c>
      <c r="N28" s="31">
        <f>47258.31-39083.61</f>
        <v>8174.6999999999971</v>
      </c>
      <c r="O28" s="32">
        <f t="shared" si="1"/>
        <v>47258.31</v>
      </c>
      <c r="P28" s="6">
        <v>47258.31</v>
      </c>
      <c r="Q28" s="8">
        <f t="shared" si="0"/>
        <v>0</v>
      </c>
    </row>
    <row r="29" spans="1:20" s="7" customFormat="1" ht="13.5" customHeight="1" thickBot="1" x14ac:dyDescent="0.3">
      <c r="A29" s="47" t="s">
        <v>40</v>
      </c>
      <c r="B29" s="47"/>
      <c r="C29" s="13">
        <f t="shared" ref="C29:O29" si="2">SUM(C7:C28)</f>
        <v>3491377.5300000003</v>
      </c>
      <c r="D29" s="13">
        <f t="shared" si="2"/>
        <v>2626187.5200000005</v>
      </c>
      <c r="E29" s="13">
        <f t="shared" si="2"/>
        <v>3202444.6399999997</v>
      </c>
      <c r="F29" s="13">
        <f t="shared" si="2"/>
        <v>12833738.709999999</v>
      </c>
      <c r="G29" s="13">
        <f t="shared" si="2"/>
        <v>4983025.330000001</v>
      </c>
      <c r="H29" s="13">
        <f t="shared" si="2"/>
        <v>28637339.039999999</v>
      </c>
      <c r="I29" s="13">
        <f t="shared" si="2"/>
        <v>676867.37999999966</v>
      </c>
      <c r="J29" s="13">
        <f t="shared" si="2"/>
        <v>669696.52</v>
      </c>
      <c r="K29" s="13">
        <f t="shared" si="2"/>
        <v>718092.63000000012</v>
      </c>
      <c r="L29" s="13">
        <f t="shared" si="2"/>
        <v>950895.61999999965</v>
      </c>
      <c r="M29" s="13">
        <f t="shared" si="2"/>
        <v>13531341.620000005</v>
      </c>
      <c r="N29" s="13">
        <f t="shared" si="2"/>
        <v>861116.09000000032</v>
      </c>
      <c r="O29" s="13">
        <f t="shared" si="2"/>
        <v>73182122.63000001</v>
      </c>
      <c r="P29" s="6"/>
      <c r="Q29" s="8">
        <f t="shared" si="0"/>
        <v>73182122.63000001</v>
      </c>
      <c r="T29" s="8"/>
    </row>
    <row r="30" spans="1:20" ht="12.6" thickTop="1" x14ac:dyDescent="0.2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Q30" s="7">
        <f t="shared" si="0"/>
        <v>0</v>
      </c>
    </row>
    <row r="31" spans="1:20" x14ac:dyDescent="0.25">
      <c r="A31" s="34" t="s">
        <v>47</v>
      </c>
    </row>
    <row r="33" spans="3:20" s="1" customFormat="1" ht="13.15" x14ac:dyDescent="0.25">
      <c r="C33" s="15"/>
      <c r="D33" s="15"/>
      <c r="E33" s="15"/>
      <c r="F33" s="15"/>
      <c r="G33" s="3"/>
      <c r="H33" s="3"/>
      <c r="I33" s="3"/>
      <c r="J33" s="3"/>
      <c r="K33" s="3"/>
      <c r="L33" s="3"/>
      <c r="M33" s="3"/>
      <c r="N33" s="3"/>
      <c r="O33" s="6"/>
      <c r="P33" s="6"/>
      <c r="Q33" s="7"/>
    </row>
    <row r="34" spans="3:20" s="1" customFormat="1" ht="13.9" x14ac:dyDescent="0.3">
      <c r="C34" s="16" t="s">
        <v>44</v>
      </c>
      <c r="D34" s="16"/>
      <c r="E34" s="16"/>
      <c r="F34" s="3"/>
      <c r="G34" s="14"/>
      <c r="H34" s="14"/>
      <c r="I34" s="3"/>
      <c r="J34" s="16" t="s">
        <v>48</v>
      </c>
      <c r="K34" s="3"/>
      <c r="L34" s="3"/>
      <c r="M34" s="3"/>
      <c r="N34" s="3"/>
      <c r="O34" s="6"/>
      <c r="P34" s="6"/>
      <c r="Q34" s="7"/>
    </row>
    <row r="35" spans="3:20" s="1" customFormat="1" ht="22.5" customHeight="1" x14ac:dyDescent="0.3">
      <c r="C35" s="16"/>
      <c r="D35" s="16"/>
      <c r="E35" s="16"/>
      <c r="F35" s="3"/>
      <c r="G35" s="14"/>
      <c r="H35" s="14"/>
      <c r="I35" s="3"/>
      <c r="J35" s="3"/>
      <c r="K35" s="3"/>
      <c r="L35" s="3"/>
      <c r="M35" s="3"/>
      <c r="N35" s="3"/>
      <c r="O35" s="6"/>
      <c r="P35" s="6"/>
      <c r="Q35" s="7"/>
      <c r="T35" s="35"/>
    </row>
    <row r="36" spans="3:20" s="1" customFormat="1" ht="13.9" x14ac:dyDescent="0.3">
      <c r="C36" s="16"/>
      <c r="D36" s="17" t="s">
        <v>45</v>
      </c>
      <c r="E36" s="16"/>
      <c r="F36" s="3"/>
      <c r="G36" s="14"/>
      <c r="H36" s="14"/>
      <c r="I36" s="3"/>
      <c r="J36" s="3"/>
      <c r="K36" s="60" t="s">
        <v>49</v>
      </c>
      <c r="L36" s="60"/>
      <c r="M36" s="3"/>
      <c r="N36" s="3"/>
      <c r="O36" s="6"/>
      <c r="P36" s="6"/>
      <c r="Q36" s="7"/>
    </row>
    <row r="37" spans="3:20" s="1" customFormat="1" ht="13.9" x14ac:dyDescent="0.3">
      <c r="C37" s="16"/>
      <c r="D37" s="46" t="s">
        <v>46</v>
      </c>
      <c r="E37" s="46"/>
      <c r="F37" s="3"/>
      <c r="G37" s="14"/>
      <c r="H37" s="14"/>
      <c r="I37" s="3"/>
      <c r="J37" s="3"/>
      <c r="K37" s="46" t="s">
        <v>50</v>
      </c>
      <c r="L37" s="46"/>
      <c r="M37" s="3"/>
      <c r="N37" s="3"/>
      <c r="O37" s="6"/>
      <c r="P37" s="6"/>
      <c r="Q37" s="7"/>
    </row>
    <row r="38" spans="3:20" s="1" customFormat="1" ht="13.9" x14ac:dyDescent="0.3">
      <c r="C38" s="16"/>
      <c r="D38" s="3"/>
      <c r="E38" s="3"/>
      <c r="F38" s="3"/>
      <c r="G38" s="14"/>
      <c r="H38" s="14"/>
      <c r="I38" s="3"/>
      <c r="J38" s="3"/>
      <c r="K38" s="3"/>
      <c r="L38" s="16"/>
      <c r="M38" s="15"/>
      <c r="N38" s="16"/>
      <c r="O38" s="6"/>
      <c r="P38" s="6"/>
      <c r="Q38" s="7"/>
    </row>
    <row r="39" spans="3:20" s="1" customFormat="1" ht="13.9" x14ac:dyDescent="0.3">
      <c r="C39" s="16"/>
      <c r="D39" s="16"/>
      <c r="E39" s="16"/>
      <c r="F39" s="16"/>
      <c r="G39" s="14"/>
      <c r="H39" s="14"/>
      <c r="I39" s="3"/>
      <c r="J39" s="3"/>
      <c r="K39" s="3"/>
      <c r="L39" s="3"/>
      <c r="M39" s="3"/>
      <c r="N39" s="3"/>
      <c r="O39" s="6"/>
      <c r="P39" s="6"/>
      <c r="Q39" s="7"/>
    </row>
    <row r="40" spans="3:20" s="1" customFormat="1" x14ac:dyDescent="0.25">
      <c r="C40" s="14"/>
      <c r="D40" s="14"/>
      <c r="E40" s="14"/>
      <c r="F40" s="14"/>
      <c r="G40" s="14"/>
      <c r="H40" s="14"/>
      <c r="I40" s="3"/>
      <c r="J40" s="3"/>
      <c r="K40" s="3"/>
      <c r="L40" s="3"/>
      <c r="M40" s="3"/>
      <c r="N40" s="3"/>
      <c r="O40" s="6"/>
      <c r="P40" s="6"/>
      <c r="Q40" s="7"/>
    </row>
    <row r="41" spans="3:20" s="1" customFormat="1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8"/>
      <c r="O41" s="6"/>
      <c r="P41" s="6"/>
      <c r="Q41" s="7"/>
    </row>
  </sheetData>
  <mergeCells count="16">
    <mergeCell ref="D37:E37"/>
    <mergeCell ref="A29:B29"/>
    <mergeCell ref="B1:O1"/>
    <mergeCell ref="B2:O2"/>
    <mergeCell ref="B3:O3"/>
    <mergeCell ref="A8:B8"/>
    <mergeCell ref="A18:B18"/>
    <mergeCell ref="O5:O6"/>
    <mergeCell ref="A5:B6"/>
    <mergeCell ref="A25:B25"/>
    <mergeCell ref="C5:E5"/>
    <mergeCell ref="F5:H5"/>
    <mergeCell ref="I5:K5"/>
    <mergeCell ref="L5:N5"/>
    <mergeCell ref="K36:L36"/>
    <mergeCell ref="K37:L37"/>
  </mergeCells>
  <pageMargins left="0.2" right="0.2" top="0.75" bottom="0.5" header="0.3" footer="0.3"/>
  <pageSetup paperSize="1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T29"/>
  <sheetViews>
    <sheetView workbookViewId="0">
      <selection activeCell="B3" sqref="B3:C3"/>
    </sheetView>
  </sheetViews>
  <sheetFormatPr defaultColWidth="9.140625" defaultRowHeight="12" x14ac:dyDescent="0.2"/>
  <cols>
    <col min="1" max="1" width="16.42578125" style="1" customWidth="1"/>
    <col min="2" max="2" width="40.140625" style="2" customWidth="1"/>
    <col min="3" max="3" width="40.7109375" style="6" customWidth="1"/>
    <col min="4" max="4" width="12.140625" style="1" customWidth="1"/>
    <col min="5" max="5" width="13.5703125" style="1" bestFit="1" customWidth="1"/>
    <col min="6" max="16384" width="9.140625" style="1"/>
  </cols>
  <sheetData>
    <row r="1" spans="1:5" ht="16.899999999999999" customHeight="1" x14ac:dyDescent="0.4">
      <c r="B1" s="61" t="s">
        <v>0</v>
      </c>
      <c r="C1" s="61"/>
    </row>
    <row r="2" spans="1:5" ht="16.899999999999999" customHeight="1" x14ac:dyDescent="0.2">
      <c r="B2" s="62" t="s">
        <v>54</v>
      </c>
      <c r="C2" s="62"/>
    </row>
    <row r="3" spans="1:5" ht="16.899999999999999" customHeight="1" x14ac:dyDescent="0.25">
      <c r="B3" s="63" t="s">
        <v>51</v>
      </c>
      <c r="C3" s="63"/>
    </row>
    <row r="4" spans="1:5" ht="12.6" thickBot="1" x14ac:dyDescent="0.3"/>
    <row r="5" spans="1:5" x14ac:dyDescent="0.2">
      <c r="A5" s="64" t="s">
        <v>3</v>
      </c>
      <c r="B5" s="65"/>
      <c r="C5" s="53" t="s">
        <v>20</v>
      </c>
    </row>
    <row r="6" spans="1:5" ht="12.75" thickBot="1" x14ac:dyDescent="0.25">
      <c r="A6" s="66"/>
      <c r="B6" s="67"/>
      <c r="C6" s="54"/>
    </row>
    <row r="7" spans="1:5" ht="26.45" customHeight="1" x14ac:dyDescent="0.2">
      <c r="A7" s="22"/>
      <c r="B7" s="23" t="s">
        <v>22</v>
      </c>
      <c r="C7" s="30">
        <v>12600</v>
      </c>
    </row>
    <row r="8" spans="1:5" ht="26.45" customHeight="1" x14ac:dyDescent="0.2">
      <c r="A8" s="22"/>
      <c r="B8" s="23" t="s">
        <v>23</v>
      </c>
      <c r="C8" s="30">
        <v>30950</v>
      </c>
    </row>
    <row r="9" spans="1:5" ht="26.45" customHeight="1" x14ac:dyDescent="0.2">
      <c r="A9" s="22"/>
      <c r="B9" s="23" t="s">
        <v>26</v>
      </c>
      <c r="C9" s="30">
        <v>17200</v>
      </c>
    </row>
    <row r="10" spans="1:5" ht="26.45" customHeight="1" x14ac:dyDescent="0.2">
      <c r="A10" s="22"/>
      <c r="B10" s="23" t="s">
        <v>27</v>
      </c>
      <c r="C10" s="30">
        <v>32170</v>
      </c>
    </row>
    <row r="11" spans="1:5" ht="26.45" customHeight="1" x14ac:dyDescent="0.2">
      <c r="A11" s="22"/>
      <c r="B11" s="24" t="s">
        <v>28</v>
      </c>
      <c r="C11" s="30">
        <v>67678</v>
      </c>
    </row>
    <row r="12" spans="1:5" ht="26.45" customHeight="1" x14ac:dyDescent="0.2">
      <c r="A12" s="22"/>
      <c r="B12" s="23" t="s">
        <v>29</v>
      </c>
      <c r="C12" s="30">
        <v>6000</v>
      </c>
    </row>
    <row r="13" spans="1:5" ht="26.45" customHeight="1" x14ac:dyDescent="0.2">
      <c r="A13" s="22"/>
      <c r="B13" s="23" t="s">
        <v>30</v>
      </c>
      <c r="C13" s="30">
        <v>308255.5</v>
      </c>
    </row>
    <row r="14" spans="1:5" ht="26.45" customHeight="1" x14ac:dyDescent="0.2">
      <c r="A14" s="22"/>
      <c r="B14" s="23" t="s">
        <v>35</v>
      </c>
      <c r="C14" s="30">
        <v>471829</v>
      </c>
      <c r="D14" s="5"/>
      <c r="E14" s="5"/>
    </row>
    <row r="15" spans="1:5" ht="26.45" customHeight="1" thickBot="1" x14ac:dyDescent="0.25">
      <c r="A15" s="22"/>
      <c r="B15" s="23" t="s">
        <v>37</v>
      </c>
      <c r="C15" s="44">
        <v>2263.35</v>
      </c>
    </row>
    <row r="16" spans="1:5" s="7" customFormat="1" ht="34.15" customHeight="1" thickBot="1" x14ac:dyDescent="0.3">
      <c r="A16" s="47" t="s">
        <v>40</v>
      </c>
      <c r="B16" s="47"/>
      <c r="C16" s="45">
        <f>SUM(C7:C15)</f>
        <v>948945.85</v>
      </c>
      <c r="E16" s="8"/>
    </row>
    <row r="17" spans="1:20" thickTop="1" x14ac:dyDescent="0.2">
      <c r="C17" s="12"/>
    </row>
    <row r="18" spans="1:20" x14ac:dyDescent="0.25">
      <c r="A18" s="34" t="s">
        <v>47</v>
      </c>
    </row>
    <row r="20" spans="1:20" x14ac:dyDescent="0.25">
      <c r="B20" s="1"/>
      <c r="C20" s="1"/>
      <c r="F20" s="3"/>
      <c r="G20" s="14"/>
      <c r="H20" s="14"/>
      <c r="I20" s="3"/>
      <c r="M20" s="3"/>
      <c r="N20" s="3"/>
      <c r="O20" s="6"/>
      <c r="P20" s="6"/>
      <c r="Q20" s="7"/>
    </row>
    <row r="21" spans="1:20" ht="22.5" customHeight="1" x14ac:dyDescent="0.3">
      <c r="A21" s="16" t="s">
        <v>44</v>
      </c>
      <c r="B21" s="16"/>
      <c r="C21" s="16" t="s">
        <v>48</v>
      </c>
      <c r="E21" s="3"/>
      <c r="F21" s="3"/>
      <c r="G21" s="14"/>
      <c r="H21" s="14"/>
      <c r="I21" s="3"/>
      <c r="M21" s="3"/>
      <c r="N21" s="3"/>
      <c r="O21" s="6"/>
      <c r="P21" s="6"/>
      <c r="Q21" s="7"/>
      <c r="T21" s="35"/>
    </row>
    <row r="22" spans="1:20" ht="22.5" customHeight="1" x14ac:dyDescent="0.3">
      <c r="A22" s="16"/>
      <c r="B22" s="16"/>
      <c r="C22" s="16"/>
      <c r="E22" s="3"/>
      <c r="F22" s="3"/>
      <c r="G22" s="14"/>
      <c r="H22" s="14"/>
      <c r="I22" s="3"/>
      <c r="M22" s="3"/>
      <c r="N22" s="3"/>
      <c r="O22" s="6"/>
      <c r="P22" s="6"/>
      <c r="Q22" s="7"/>
      <c r="T22" s="35"/>
    </row>
    <row r="23" spans="1:20" ht="13.9" x14ac:dyDescent="0.3">
      <c r="A23" s="16"/>
      <c r="B23" s="16"/>
      <c r="C23" s="16"/>
      <c r="D23" s="3"/>
      <c r="E23" s="3"/>
      <c r="F23" s="3"/>
      <c r="G23" s="14"/>
      <c r="H23" s="14"/>
      <c r="I23" s="3"/>
      <c r="M23" s="3"/>
      <c r="N23" s="3"/>
      <c r="O23" s="6"/>
      <c r="P23" s="6"/>
      <c r="Q23" s="7"/>
    </row>
    <row r="24" spans="1:20" ht="13.9" x14ac:dyDescent="0.3">
      <c r="A24" s="17" t="s">
        <v>45</v>
      </c>
      <c r="B24" s="1"/>
      <c r="C24" s="17" t="s">
        <v>49</v>
      </c>
      <c r="D24" s="3"/>
      <c r="E24" s="60"/>
      <c r="F24" s="60"/>
      <c r="G24" s="14"/>
      <c r="H24" s="14"/>
      <c r="I24" s="3"/>
      <c r="M24" s="3"/>
      <c r="N24" s="3"/>
      <c r="O24" s="6"/>
      <c r="P24" s="6"/>
      <c r="Q24" s="7"/>
    </row>
    <row r="25" spans="1:20" ht="13.9" x14ac:dyDescent="0.3">
      <c r="A25" s="16" t="s">
        <v>55</v>
      </c>
      <c r="B25" s="43"/>
      <c r="C25" s="43" t="s">
        <v>50</v>
      </c>
      <c r="D25" s="3"/>
      <c r="E25" s="46"/>
      <c r="F25" s="46"/>
      <c r="G25" s="14"/>
      <c r="H25" s="14"/>
      <c r="I25" s="3"/>
      <c r="M25" s="15"/>
      <c r="N25" s="16"/>
      <c r="O25" s="6"/>
      <c r="P25" s="6"/>
      <c r="Q25" s="7"/>
    </row>
    <row r="26" spans="1:20" ht="13.9" x14ac:dyDescent="0.3">
      <c r="A26" s="16"/>
      <c r="B26" s="3"/>
      <c r="C26" s="3"/>
      <c r="D26" s="3"/>
      <c r="E26" s="3"/>
      <c r="F26" s="16"/>
    </row>
    <row r="27" spans="1:20" x14ac:dyDescent="0.25">
      <c r="B27" s="1"/>
    </row>
    <row r="28" spans="1:20" x14ac:dyDescent="0.25">
      <c r="B28" s="1"/>
    </row>
    <row r="29" spans="1:20" x14ac:dyDescent="0.25">
      <c r="B29" s="1"/>
    </row>
  </sheetData>
  <mergeCells count="8">
    <mergeCell ref="E24:F24"/>
    <mergeCell ref="E25:F25"/>
    <mergeCell ref="A16:B16"/>
    <mergeCell ref="B1:C1"/>
    <mergeCell ref="B2:C2"/>
    <mergeCell ref="B3:C3"/>
    <mergeCell ref="A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40"/>
  <sheetViews>
    <sheetView tabSelected="1" workbookViewId="0">
      <selection activeCell="C19" sqref="C19"/>
    </sheetView>
  </sheetViews>
  <sheetFormatPr defaultColWidth="9.140625" defaultRowHeight="12" x14ac:dyDescent="0.2"/>
  <cols>
    <col min="1" max="1" width="14.7109375" style="1" customWidth="1"/>
    <col min="2" max="2" width="40.140625" style="2" customWidth="1"/>
    <col min="3" max="3" width="38.28515625" style="6" customWidth="1"/>
    <col min="4" max="4" width="12.140625" style="1" customWidth="1"/>
    <col min="5" max="5" width="13.5703125" style="1" bestFit="1" customWidth="1"/>
    <col min="6" max="16384" width="9.140625" style="1"/>
  </cols>
  <sheetData>
    <row r="1" spans="1:3" ht="16.149999999999999" x14ac:dyDescent="0.4">
      <c r="B1" s="61" t="s">
        <v>0</v>
      </c>
      <c r="C1" s="61"/>
    </row>
    <row r="2" spans="1:3" ht="11.45" x14ac:dyDescent="0.2">
      <c r="B2" s="62" t="s">
        <v>1</v>
      </c>
      <c r="C2" s="62"/>
    </row>
    <row r="3" spans="1:3" x14ac:dyDescent="0.25">
      <c r="B3" s="63" t="s">
        <v>53</v>
      </c>
      <c r="C3" s="63"/>
    </row>
    <row r="4" spans="1:3" ht="12.6" thickBot="1" x14ac:dyDescent="0.3"/>
    <row r="5" spans="1:3" x14ac:dyDescent="0.2">
      <c r="A5" s="55" t="s">
        <v>3</v>
      </c>
      <c r="B5" s="56"/>
      <c r="C5" s="53" t="s">
        <v>20</v>
      </c>
    </row>
    <row r="6" spans="1:3" ht="12.75" thickBot="1" x14ac:dyDescent="0.25">
      <c r="A6" s="57"/>
      <c r="B6" s="58"/>
      <c r="C6" s="54"/>
    </row>
    <row r="7" spans="1:3" ht="11.45" x14ac:dyDescent="0.2">
      <c r="A7" s="51" t="s">
        <v>41</v>
      </c>
      <c r="B7" s="52"/>
      <c r="C7" s="30"/>
    </row>
    <row r="8" spans="1:3" ht="11.45" x14ac:dyDescent="0.2">
      <c r="A8" s="22"/>
      <c r="B8" s="23" t="s">
        <v>22</v>
      </c>
      <c r="C8" s="30"/>
    </row>
    <row r="9" spans="1:3" ht="11.45" x14ac:dyDescent="0.2">
      <c r="A9" s="22"/>
      <c r="B9" s="23" t="s">
        <v>23</v>
      </c>
      <c r="C9" s="30"/>
    </row>
    <row r="10" spans="1:3" ht="11.45" x14ac:dyDescent="0.2">
      <c r="A10" s="22"/>
      <c r="B10" s="23" t="s">
        <v>24</v>
      </c>
      <c r="C10" s="30">
        <v>4950</v>
      </c>
    </row>
    <row r="11" spans="1:3" ht="11.45" x14ac:dyDescent="0.2">
      <c r="A11" s="22"/>
      <c r="B11" s="23" t="s">
        <v>25</v>
      </c>
      <c r="C11" s="30">
        <v>7000</v>
      </c>
    </row>
    <row r="12" spans="1:3" ht="11.45" x14ac:dyDescent="0.2">
      <c r="A12" s="22"/>
      <c r="B12" s="23" t="s">
        <v>26</v>
      </c>
      <c r="C12" s="30">
        <v>56455</v>
      </c>
    </row>
    <row r="13" spans="1:3" ht="11.45" x14ac:dyDescent="0.2">
      <c r="A13" s="22"/>
      <c r="B13" s="23" t="s">
        <v>27</v>
      </c>
      <c r="C13" s="30"/>
    </row>
    <row r="14" spans="1:3" ht="11.45" x14ac:dyDescent="0.2">
      <c r="A14" s="22"/>
      <c r="B14" s="24" t="s">
        <v>28</v>
      </c>
      <c r="C14" s="30">
        <v>54570</v>
      </c>
    </row>
    <row r="15" spans="1:3" ht="11.45" x14ac:dyDescent="0.2">
      <c r="A15" s="22"/>
      <c r="B15" s="23" t="s">
        <v>29</v>
      </c>
      <c r="C15" s="30">
        <v>9350</v>
      </c>
    </row>
    <row r="16" spans="1:3" ht="11.45" x14ac:dyDescent="0.2">
      <c r="A16" s="22"/>
      <c r="B16" s="23" t="s">
        <v>30</v>
      </c>
      <c r="C16" s="30">
        <v>274170</v>
      </c>
    </row>
    <row r="17" spans="1:17" ht="11.45" x14ac:dyDescent="0.2">
      <c r="A17" s="22"/>
      <c r="B17" s="23" t="s">
        <v>52</v>
      </c>
      <c r="C17" s="30"/>
    </row>
    <row r="18" spans="1:17" ht="11.45" x14ac:dyDescent="0.2">
      <c r="A18" s="22"/>
      <c r="B18" s="23" t="s">
        <v>31</v>
      </c>
      <c r="C18" s="30">
        <v>73560</v>
      </c>
    </row>
    <row r="19" spans="1:17" ht="11.45" x14ac:dyDescent="0.2">
      <c r="A19" s="22"/>
      <c r="B19" s="24" t="s">
        <v>32</v>
      </c>
      <c r="C19" s="30"/>
    </row>
    <row r="20" spans="1:17" ht="11.45" x14ac:dyDescent="0.2">
      <c r="A20" s="22"/>
      <c r="B20" s="23" t="s">
        <v>33</v>
      </c>
      <c r="C20" s="30"/>
    </row>
    <row r="21" spans="1:17" ht="11.45" x14ac:dyDescent="0.2">
      <c r="A21" s="22"/>
      <c r="B21" s="23" t="s">
        <v>34</v>
      </c>
      <c r="C21" s="30">
        <v>123527</v>
      </c>
    </row>
    <row r="22" spans="1:17" ht="11.45" x14ac:dyDescent="0.2">
      <c r="A22" s="22"/>
      <c r="B22" s="23" t="s">
        <v>35</v>
      </c>
      <c r="C22" s="30">
        <v>1170575</v>
      </c>
      <c r="D22" s="5"/>
      <c r="E22" s="5"/>
    </row>
    <row r="23" spans="1:17" ht="11.45" x14ac:dyDescent="0.2">
      <c r="A23" s="22"/>
      <c r="B23" s="23" t="s">
        <v>36</v>
      </c>
      <c r="C23" s="30"/>
    </row>
    <row r="24" spans="1:17" ht="11.45" x14ac:dyDescent="0.2">
      <c r="A24" s="51" t="s">
        <v>43</v>
      </c>
      <c r="B24" s="52"/>
      <c r="C24" s="30"/>
    </row>
    <row r="25" spans="1:17" ht="11.45" x14ac:dyDescent="0.2">
      <c r="A25" s="22"/>
      <c r="B25" s="23" t="s">
        <v>37</v>
      </c>
      <c r="C25" s="30"/>
    </row>
    <row r="26" spans="1:17" ht="11.45" x14ac:dyDescent="0.2">
      <c r="A26" s="22"/>
      <c r="B26" s="23" t="s">
        <v>38</v>
      </c>
      <c r="C26" s="30"/>
    </row>
    <row r="27" spans="1:17" ht="11.45" x14ac:dyDescent="0.2">
      <c r="A27" s="25"/>
      <c r="B27" s="26" t="s">
        <v>39</v>
      </c>
      <c r="C27" s="32"/>
    </row>
    <row r="28" spans="1:17" s="7" customFormat="1" ht="20.45" customHeight="1" thickBot="1" x14ac:dyDescent="0.3">
      <c r="A28" s="47" t="s">
        <v>40</v>
      </c>
      <c r="B28" s="47"/>
      <c r="C28" s="13">
        <f>SUM(C7:C27)</f>
        <v>1774157</v>
      </c>
      <c r="E28" s="8"/>
    </row>
    <row r="29" spans="1:17" thickTop="1" x14ac:dyDescent="0.2">
      <c r="C29" s="12"/>
    </row>
    <row r="30" spans="1:17" x14ac:dyDescent="0.25">
      <c r="A30" s="34" t="s">
        <v>47</v>
      </c>
    </row>
    <row r="32" spans="1:17" x14ac:dyDescent="0.25">
      <c r="B32" s="1"/>
      <c r="C32" s="1"/>
      <c r="F32" s="3"/>
      <c r="G32" s="14"/>
      <c r="H32" s="14"/>
      <c r="I32" s="3"/>
      <c r="M32" s="3"/>
      <c r="N32" s="3"/>
      <c r="O32" s="6"/>
      <c r="P32" s="6"/>
      <c r="Q32" s="7"/>
    </row>
    <row r="33" spans="1:20" ht="22.5" customHeight="1" x14ac:dyDescent="0.3">
      <c r="A33" s="16" t="s">
        <v>44</v>
      </c>
      <c r="B33" s="16"/>
      <c r="C33" s="16"/>
      <c r="D33" s="16" t="s">
        <v>48</v>
      </c>
      <c r="E33" s="3"/>
      <c r="F33" s="3"/>
      <c r="G33" s="14"/>
      <c r="H33" s="14"/>
      <c r="I33" s="3"/>
      <c r="M33" s="3"/>
      <c r="N33" s="3"/>
      <c r="O33" s="6"/>
      <c r="P33" s="6"/>
      <c r="Q33" s="7"/>
      <c r="T33" s="35"/>
    </row>
    <row r="34" spans="1:20" ht="13.9" x14ac:dyDescent="0.3">
      <c r="A34" s="16"/>
      <c r="B34" s="16"/>
      <c r="C34" s="16"/>
      <c r="D34" s="3"/>
      <c r="E34" s="3"/>
      <c r="F34" s="3"/>
      <c r="G34" s="14"/>
      <c r="H34" s="14"/>
      <c r="I34" s="3"/>
      <c r="M34" s="3"/>
      <c r="N34" s="3"/>
      <c r="O34" s="6"/>
      <c r="P34" s="6"/>
      <c r="Q34" s="7"/>
    </row>
    <row r="35" spans="1:20" ht="13.9" x14ac:dyDescent="0.3">
      <c r="A35" s="16"/>
      <c r="B35" s="17" t="s">
        <v>45</v>
      </c>
      <c r="C35" s="16"/>
      <c r="D35" s="3"/>
      <c r="E35" s="60" t="s">
        <v>49</v>
      </c>
      <c r="F35" s="60"/>
      <c r="G35" s="14"/>
      <c r="H35" s="14"/>
      <c r="I35" s="3"/>
      <c r="M35" s="3"/>
      <c r="N35" s="3"/>
      <c r="O35" s="6"/>
      <c r="P35" s="6"/>
      <c r="Q35" s="7"/>
    </row>
    <row r="36" spans="1:20" ht="13.9" x14ac:dyDescent="0.3">
      <c r="A36" s="16"/>
      <c r="B36" s="46" t="s">
        <v>46</v>
      </c>
      <c r="C36" s="46"/>
      <c r="D36" s="3"/>
      <c r="E36" s="46" t="s">
        <v>50</v>
      </c>
      <c r="F36" s="46"/>
      <c r="G36" s="14"/>
      <c r="H36" s="14"/>
      <c r="I36" s="3"/>
      <c r="M36" s="15"/>
      <c r="N36" s="16"/>
      <c r="O36" s="6"/>
      <c r="P36" s="6"/>
      <c r="Q36" s="7"/>
    </row>
    <row r="37" spans="1:20" ht="13.9" x14ac:dyDescent="0.3">
      <c r="A37" s="16"/>
      <c r="B37" s="3"/>
      <c r="C37" s="3"/>
      <c r="D37" s="3"/>
      <c r="E37" s="3"/>
      <c r="F37" s="16"/>
    </row>
    <row r="38" spans="1:20" x14ac:dyDescent="0.25">
      <c r="B38" s="1"/>
    </row>
    <row r="39" spans="1:20" x14ac:dyDescent="0.25">
      <c r="B39" s="1"/>
    </row>
    <row r="40" spans="1:20" x14ac:dyDescent="0.25">
      <c r="B40" s="1"/>
    </row>
  </sheetData>
  <mergeCells count="11">
    <mergeCell ref="B36:C36"/>
    <mergeCell ref="E36:F36"/>
    <mergeCell ref="A7:B7"/>
    <mergeCell ref="A24:B24"/>
    <mergeCell ref="A28:B28"/>
    <mergeCell ref="B1:C1"/>
    <mergeCell ref="B2:C2"/>
    <mergeCell ref="B3:C3"/>
    <mergeCell ref="C5:C6"/>
    <mergeCell ref="E35:F35"/>
    <mergeCell ref="A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BSU Main University</vt:lpstr>
      <vt:lpstr>Bokod</vt:lpstr>
      <vt:lpstr>Buguias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acct</dc:creator>
  <cp:lastModifiedBy>TabDiBaLiLi</cp:lastModifiedBy>
  <cp:lastPrinted>2013-05-24T21:23:07Z</cp:lastPrinted>
  <dcterms:created xsi:type="dcterms:W3CDTF">2013-04-19T18:13:44Z</dcterms:created>
  <dcterms:modified xsi:type="dcterms:W3CDTF">2014-02-15T08:49:12Z</dcterms:modified>
</cp:coreProperties>
</file>