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bDiBaLiLi\Desktop\"/>
    </mc:Choice>
  </mc:AlternateContent>
  <bookViews>
    <workbookView xWindow="240" yWindow="120" windowWidth="5535" windowHeight="7560" firstSheet="1" activeTab="1"/>
  </bookViews>
  <sheets>
    <sheet name="BSU MAIN UNIVERSITY" sheetId="4" state="hidden" r:id="rId1"/>
    <sheet name="Bokod" sheetId="5" r:id="rId2"/>
    <sheet name="Buguias" sheetId="6" state="hidden" r:id="rId3"/>
  </sheets>
  <calcPr calcId="152511"/>
</workbook>
</file>

<file path=xl/calcChain.xml><?xml version="1.0" encoding="utf-8"?>
<calcChain xmlns="http://schemas.openxmlformats.org/spreadsheetml/2006/main">
  <c r="C16" i="6" l="1"/>
  <c r="N28" i="4" l="1"/>
  <c r="N27" i="4"/>
  <c r="N26" i="4"/>
  <c r="N24" i="4"/>
  <c r="M23" i="4"/>
  <c r="N22" i="4"/>
  <c r="M22" i="4"/>
  <c r="L22" i="4"/>
  <c r="N21" i="4"/>
  <c r="N20" i="4"/>
  <c r="N17" i="4"/>
  <c r="M17" i="4"/>
  <c r="N16" i="4"/>
  <c r="M15" i="4"/>
  <c r="M14" i="4"/>
  <c r="M28" i="4"/>
  <c r="M27" i="4"/>
  <c r="M26" i="4"/>
  <c r="M24" i="4"/>
  <c r="M21" i="4"/>
  <c r="M20" i="4"/>
  <c r="M16" i="4"/>
  <c r="L28" i="4"/>
  <c r="L27" i="4"/>
  <c r="L26" i="4"/>
  <c r="L24" i="4"/>
  <c r="L23" i="4"/>
  <c r="L21" i="4"/>
  <c r="L17" i="4"/>
  <c r="L16" i="4"/>
  <c r="L15" i="4"/>
  <c r="L14" i="4"/>
  <c r="K17" i="4"/>
  <c r="J17" i="4"/>
  <c r="K28" i="4"/>
  <c r="K27" i="4"/>
  <c r="K26" i="4"/>
  <c r="K24" i="4"/>
  <c r="K23" i="4"/>
  <c r="K22" i="4"/>
  <c r="K21" i="4"/>
  <c r="K16" i="4"/>
  <c r="K14" i="4"/>
  <c r="H23" i="4"/>
  <c r="J28" i="4"/>
  <c r="J27" i="4"/>
  <c r="J26" i="4"/>
  <c r="J24" i="4"/>
  <c r="J22" i="4"/>
  <c r="J21" i="4"/>
  <c r="J16" i="4"/>
  <c r="J29" i="4" s="1"/>
  <c r="J15" i="4"/>
  <c r="J14" i="4"/>
  <c r="I28" i="4"/>
  <c r="I27" i="4"/>
  <c r="I26" i="4"/>
  <c r="I24" i="4"/>
  <c r="I22" i="4"/>
  <c r="I21" i="4"/>
  <c r="I17" i="4"/>
  <c r="I16" i="4"/>
  <c r="I15" i="4"/>
  <c r="I14" i="4"/>
  <c r="H28" i="4"/>
  <c r="H27" i="4"/>
  <c r="H26" i="4"/>
  <c r="O26" i="4" s="1"/>
  <c r="H24" i="4"/>
  <c r="H22" i="4"/>
  <c r="H21" i="4"/>
  <c r="H17" i="4"/>
  <c r="H16" i="4"/>
  <c r="H15" i="4"/>
  <c r="H14" i="4"/>
  <c r="F23" i="4"/>
  <c r="G28" i="4"/>
  <c r="G27" i="4"/>
  <c r="G26" i="4"/>
  <c r="G24" i="4"/>
  <c r="G22" i="4"/>
  <c r="O22" i="4" s="1"/>
  <c r="G21" i="4"/>
  <c r="G17" i="4"/>
  <c r="G16" i="4"/>
  <c r="G15" i="4"/>
  <c r="G14" i="4"/>
  <c r="F28" i="4"/>
  <c r="F27" i="4"/>
  <c r="F24" i="4"/>
  <c r="F22" i="4"/>
  <c r="F21" i="4"/>
  <c r="F17" i="4"/>
  <c r="F16" i="4"/>
  <c r="F15" i="4"/>
  <c r="F14" i="4"/>
  <c r="E28" i="4"/>
  <c r="E27" i="4"/>
  <c r="E24" i="4"/>
  <c r="E23" i="4"/>
  <c r="E22" i="4"/>
  <c r="E21" i="4"/>
  <c r="E17" i="4"/>
  <c r="E16" i="4"/>
  <c r="E15" i="4"/>
  <c r="E14" i="4"/>
  <c r="N13" i="4"/>
  <c r="M13" i="4"/>
  <c r="L13" i="4"/>
  <c r="K13" i="4"/>
  <c r="J13" i="4"/>
  <c r="I13" i="4"/>
  <c r="H13" i="4"/>
  <c r="G13" i="4"/>
  <c r="F13" i="4"/>
  <c r="E13" i="4"/>
  <c r="D28" i="4"/>
  <c r="O28" i="4" s="1"/>
  <c r="D27" i="4"/>
  <c r="D23" i="4"/>
  <c r="D22" i="4"/>
  <c r="D21" i="4"/>
  <c r="D17" i="4"/>
  <c r="D16" i="4"/>
  <c r="D15" i="4"/>
  <c r="D14" i="4"/>
  <c r="D13" i="4"/>
  <c r="N12" i="4"/>
  <c r="M12" i="4"/>
  <c r="L12" i="4"/>
  <c r="K12" i="4"/>
  <c r="J12" i="4"/>
  <c r="I12" i="4"/>
  <c r="H12" i="4"/>
  <c r="G12" i="4"/>
  <c r="F12" i="4"/>
  <c r="E12" i="4"/>
  <c r="D12" i="4"/>
  <c r="C12" i="4"/>
  <c r="N11" i="4"/>
  <c r="M11" i="4"/>
  <c r="L11" i="4"/>
  <c r="L29" i="4" s="1"/>
  <c r="K11" i="4"/>
  <c r="J11" i="4"/>
  <c r="I11" i="4"/>
  <c r="H11" i="4"/>
  <c r="G11" i="4"/>
  <c r="F11" i="4"/>
  <c r="D11" i="4"/>
  <c r="E11" i="4" s="1"/>
  <c r="N10" i="4"/>
  <c r="M10" i="4"/>
  <c r="H10" i="4"/>
  <c r="G10" i="4"/>
  <c r="D9" i="4"/>
  <c r="E9" i="4" s="1"/>
  <c r="C29" i="4"/>
  <c r="O20" i="4"/>
  <c r="O19" i="4"/>
  <c r="N29" i="4"/>
  <c r="O21" i="4" l="1"/>
  <c r="O27" i="4"/>
  <c r="K29" i="4"/>
  <c r="O23" i="4"/>
  <c r="O24" i="4"/>
  <c r="G29" i="4"/>
  <c r="I29" i="4"/>
  <c r="D29" i="4"/>
  <c r="F9" i="4"/>
  <c r="H9" i="4" s="1"/>
  <c r="M9" i="4" s="1"/>
  <c r="O17" i="4"/>
  <c r="E29" i="4"/>
  <c r="O7" i="4"/>
  <c r="O9" i="4" l="1"/>
  <c r="F29" i="4"/>
  <c r="O11" i="4"/>
  <c r="O12" i="4"/>
  <c r="O15" i="4"/>
  <c r="O16" i="4"/>
  <c r="O13" i="4"/>
  <c r="O14" i="4"/>
  <c r="H29" i="4" l="1"/>
  <c r="C17" i="5" l="1"/>
  <c r="M29" i="4"/>
  <c r="O10" i="4"/>
  <c r="O29" i="4" l="1"/>
</calcChain>
</file>

<file path=xl/sharedStrings.xml><?xml version="1.0" encoding="utf-8"?>
<sst xmlns="http://schemas.openxmlformats.org/spreadsheetml/2006/main" count="94" uniqueCount="55">
  <si>
    <t>REPORT OF ACTUAL INCOME</t>
  </si>
  <si>
    <t>SPECIAL TRUST FUND 164-MAIN</t>
  </si>
  <si>
    <t>Nature of Income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</si>
  <si>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</si>
  <si>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</si>
  <si>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</si>
  <si>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</si>
  <si>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</si>
  <si>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</si>
  <si>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</si>
  <si>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</si>
  <si>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</si>
  <si>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</si>
  <si>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</si>
  <si>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</si>
  <si>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Quarter I</t>
  </si>
  <si>
    <t>Quarter II</t>
  </si>
  <si>
    <t>Quarter III</t>
  </si>
  <si>
    <t>Quarter IV</t>
  </si>
  <si>
    <t>Total</t>
  </si>
  <si>
    <t>Registration Fees</t>
  </si>
  <si>
    <t>Affiliation Fees</t>
  </si>
  <si>
    <t>Athletic and Cultural Fees</t>
  </si>
  <si>
    <t>Clearance and Certification Fee</t>
  </si>
  <si>
    <t>Comprehensive Examination Fees</t>
  </si>
  <si>
    <t>Diploma and Graduation Fees</t>
  </si>
  <si>
    <t>Library Fees</t>
  </si>
  <si>
    <t>Medical, Dental and Laboratoy Fees</t>
  </si>
  <si>
    <t>Transcript of Record Fees</t>
  </si>
  <si>
    <t>Other Service Income</t>
  </si>
  <si>
    <t>Income from Canteen Operations</t>
  </si>
  <si>
    <t>Income from Dormitory Operations</t>
  </si>
  <si>
    <t>Landing and Parking Fees</t>
  </si>
  <si>
    <t>Rent Income/Lease Income</t>
  </si>
  <si>
    <t>Tuition Fees</t>
  </si>
  <si>
    <t>Other Business Income</t>
  </si>
  <si>
    <t>Interest Income</t>
  </si>
  <si>
    <t>Miscellaneous Income</t>
  </si>
  <si>
    <t>Other Fines and Penalties</t>
  </si>
  <si>
    <t>TOTAL</t>
  </si>
  <si>
    <t>Service Income</t>
  </si>
  <si>
    <t>Business Income</t>
  </si>
  <si>
    <t>Other Income</t>
  </si>
  <si>
    <t>Certified Correct:</t>
  </si>
  <si>
    <t>IMELDA B. GALINATO</t>
  </si>
  <si>
    <t xml:space="preserve">Accountant IV </t>
  </si>
  <si>
    <t>Note:  The University is recording its transactions on modified accrual basis.  Income from school fees were actually recorded during enrolment period.</t>
  </si>
  <si>
    <t>Approved:</t>
  </si>
  <si>
    <t>BEN D. LADILAD</t>
  </si>
  <si>
    <t>President</t>
  </si>
  <si>
    <t>For the Period Ended December 31, 2011</t>
  </si>
  <si>
    <t>SPECIAL TRUST FUND 164-BOKOD</t>
  </si>
  <si>
    <t>Chief Accountant</t>
  </si>
  <si>
    <t xml:space="preserve">             President</t>
  </si>
  <si>
    <t>SPECIAL TRUST FUND 164-BUGUIAS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</si>
</sst>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Footlight MT Light"/>
      <family val="1"/>
    </font>
    <font>
      <b/>
      <sz val="9"/>
      <color theme="1"/>
      <name val="Footlight MT Light"/>
      <family val="1"/>
    </font>
    <font>
      <b/>
      <sz val="9"/>
      <color theme="1"/>
      <name val="Eras Bold ITC"/>
      <family val="2"/>
    </font>
    <font>
      <b/>
      <sz val="10"/>
      <color rgb="FF003300"/>
      <name val="Arial Black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Footlight MT Light"/>
      <family val="1"/>
    </font>
    <font>
      <sz val="9"/>
      <color theme="1"/>
      <name val="Bodoni MT"/>
      <family val="1"/>
    </font>
    <font>
      <sz val="10"/>
      <color theme="1"/>
      <name val="Arial"/>
      <family val="2"/>
    </font>
    <font>
      <sz val="10"/>
      <color theme="1"/>
      <name val="Bodoni MT"/>
      <family val="1"/>
    </font>
    <font>
      <b/>
      <sz val="10"/>
      <color theme="1"/>
      <name val="Bodoni MT"/>
      <family val="1"/>
    </font>
    <font>
      <sz val="7"/>
      <color theme="1"/>
      <name val="Arial"/>
      <family val="2"/>
    </font>
    <font>
      <sz val="9"/>
      <color theme="1"/>
      <name val="Footlight MT Light"/>
      <family val="1"/>
    </font>
    <font>
      <b/>
      <i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3300"/>
      </left>
      <right style="thin">
        <color rgb="FF003300"/>
      </right>
      <top style="medium">
        <color rgb="FF003300"/>
      </top>
      <bottom style="thin">
        <color rgb="FF003300"/>
      </bottom>
      <diagonal/>
    </border>
    <border>
      <left style="thin">
        <color rgb="FF003300"/>
      </left>
      <right style="thin">
        <color rgb="FF003300"/>
      </right>
      <top style="medium">
        <color rgb="FF003300"/>
      </top>
      <bottom style="thin">
        <color rgb="FF003300"/>
      </bottom>
      <diagonal/>
    </border>
    <border>
      <left style="thin">
        <color rgb="FF003300"/>
      </left>
      <right style="medium">
        <color rgb="FF003300"/>
      </right>
      <top style="medium">
        <color rgb="FF003300"/>
      </top>
      <bottom style="thin">
        <color rgb="FF003300"/>
      </bottom>
      <diagonal/>
    </border>
    <border>
      <left style="medium">
        <color rgb="FF003300"/>
      </left>
      <right style="thin">
        <color rgb="FF003300"/>
      </right>
      <top style="thin">
        <color rgb="FF003300"/>
      </top>
      <bottom style="medium">
        <color rgb="FF003300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medium">
        <color rgb="FF003300"/>
      </bottom>
      <diagonal/>
    </border>
    <border>
      <left style="thin">
        <color rgb="FF003300"/>
      </left>
      <right style="medium">
        <color rgb="FF003300"/>
      </right>
      <top style="thin">
        <color rgb="FF003300"/>
      </top>
      <bottom style="medium">
        <color rgb="FF003300"/>
      </bottom>
      <diagonal/>
    </border>
    <border>
      <left/>
      <right/>
      <top style="thin">
        <color rgb="FF003300"/>
      </top>
      <bottom style="double">
        <color rgb="FF003300"/>
      </bottom>
      <diagonal/>
    </border>
    <border>
      <left style="hair">
        <color rgb="FF003300"/>
      </left>
      <right/>
      <top style="medium">
        <color rgb="FF003300"/>
      </top>
      <bottom style="hair">
        <color rgb="FF003300"/>
      </bottom>
      <diagonal/>
    </border>
    <border>
      <left/>
      <right/>
      <top style="medium">
        <color rgb="FF003300"/>
      </top>
      <bottom style="hair">
        <color rgb="FF003300"/>
      </bottom>
      <diagonal/>
    </border>
    <border>
      <left style="hair">
        <color rgb="FF003300"/>
      </left>
      <right/>
      <top style="hair">
        <color rgb="FF003300"/>
      </top>
      <bottom style="hair">
        <color rgb="FF003300"/>
      </bottom>
      <diagonal/>
    </border>
    <border>
      <left/>
      <right/>
      <top style="hair">
        <color rgb="FF003300"/>
      </top>
      <bottom style="hair">
        <color rgb="FF003300"/>
      </bottom>
      <diagonal/>
    </border>
    <border>
      <left style="hair">
        <color rgb="FF003300"/>
      </left>
      <right/>
      <top style="hair">
        <color rgb="FF003300"/>
      </top>
      <bottom style="thin">
        <color rgb="FF003300"/>
      </bottom>
      <diagonal/>
    </border>
    <border>
      <left/>
      <right/>
      <top style="hair">
        <color rgb="FF003300"/>
      </top>
      <bottom style="thin">
        <color rgb="FF003300"/>
      </bottom>
      <diagonal/>
    </border>
    <border>
      <left style="hair">
        <color rgb="FF003300"/>
      </left>
      <right style="hair">
        <color rgb="FF003300"/>
      </right>
      <top style="medium">
        <color rgb="FF003300"/>
      </top>
      <bottom style="hair">
        <color rgb="FF003300"/>
      </bottom>
      <diagonal/>
    </border>
    <border>
      <left style="hair">
        <color rgb="FF003300"/>
      </left>
      <right style="hair">
        <color rgb="FF003300"/>
      </right>
      <top style="hair">
        <color rgb="FF003300"/>
      </top>
      <bottom style="hair">
        <color rgb="FF003300"/>
      </bottom>
      <diagonal/>
    </border>
    <border>
      <left style="hair">
        <color rgb="FF003300"/>
      </left>
      <right style="hair">
        <color rgb="FF003300"/>
      </right>
      <top style="hair">
        <color rgb="FF003300"/>
      </top>
      <bottom style="thin">
        <color rgb="FF003300"/>
      </bottom>
      <diagonal/>
    </border>
    <border>
      <left style="medium">
        <color rgb="FF003300"/>
      </left>
      <right/>
      <top style="medium">
        <color rgb="FF003300"/>
      </top>
      <bottom/>
      <diagonal/>
    </border>
    <border>
      <left/>
      <right style="thin">
        <color rgb="FF003300"/>
      </right>
      <top style="medium">
        <color rgb="FF003300"/>
      </top>
      <bottom/>
      <diagonal/>
    </border>
    <border>
      <left style="medium">
        <color rgb="FF003300"/>
      </left>
      <right/>
      <top/>
      <bottom style="medium">
        <color rgb="FF003300"/>
      </bottom>
      <diagonal/>
    </border>
    <border>
      <left/>
      <right style="thin">
        <color rgb="FF003300"/>
      </right>
      <top/>
      <bottom style="medium">
        <color rgb="FF0033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3300"/>
      </left>
      <right style="hair">
        <color rgb="FF003300"/>
      </right>
      <top style="hair">
        <color rgb="FF0033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Fill="1"/>
    <xf numFmtId="43" fontId="3" fillId="0" borderId="0" xfId="1" applyFont="1" applyFill="1"/>
    <xf numFmtId="0" fontId="2" fillId="0" borderId="8" xfId="0" applyFont="1" applyFill="1" applyBorder="1"/>
    <xf numFmtId="0" fontId="4" fillId="0" borderId="9" xfId="0" applyFont="1" applyFill="1" applyBorder="1"/>
    <xf numFmtId="43" fontId="8" fillId="0" borderId="14" xfId="1" applyFont="1" applyFill="1" applyBorder="1"/>
    <xf numFmtId="43" fontId="9" fillId="0" borderId="14" xfId="1" applyFont="1" applyFill="1" applyBorder="1"/>
    <xf numFmtId="43" fontId="8" fillId="0" borderId="15" xfId="1" applyFont="1" applyFill="1" applyBorder="1"/>
    <xf numFmtId="0" fontId="3" fillId="0" borderId="0" xfId="0" applyFont="1" applyFill="1"/>
    <xf numFmtId="0" fontId="4" fillId="0" borderId="0" xfId="0" applyFont="1" applyFill="1"/>
    <xf numFmtId="43" fontId="2" fillId="0" borderId="0" xfId="1" applyFont="1" applyFill="1"/>
    <xf numFmtId="43" fontId="16" fillId="0" borderId="5" xfId="1" applyFont="1" applyFill="1" applyBorder="1" applyAlignment="1">
      <alignment horizontal="center"/>
    </xf>
    <xf numFmtId="43" fontId="9" fillId="0" borderId="15" xfId="1" applyFont="1" applyFill="1" applyBorder="1"/>
    <xf numFmtId="0" fontId="2" fillId="0" borderId="10" xfId="0" applyFont="1" applyFill="1" applyBorder="1"/>
    <xf numFmtId="0" fontId="4" fillId="0" borderId="11" xfId="0" applyFont="1" applyFill="1" applyBorder="1"/>
    <xf numFmtId="0" fontId="10" fillId="0" borderId="11" xfId="0" applyFont="1" applyFill="1" applyBorder="1"/>
    <xf numFmtId="43" fontId="18" fillId="0" borderId="15" xfId="1" applyFont="1" applyFill="1" applyBorder="1"/>
    <xf numFmtId="0" fontId="2" fillId="0" borderId="12" xfId="0" applyFont="1" applyFill="1" applyBorder="1"/>
    <xf numFmtId="0" fontId="4" fillId="0" borderId="13" xfId="0" applyFont="1" applyFill="1" applyBorder="1"/>
    <xf numFmtId="43" fontId="8" fillId="0" borderId="16" xfId="1" applyFont="1" applyFill="1" applyBorder="1"/>
    <xf numFmtId="43" fontId="9" fillId="0" borderId="16" xfId="1" applyFont="1" applyFill="1" applyBorder="1"/>
    <xf numFmtId="43" fontId="9" fillId="0" borderId="7" xfId="1" applyFont="1" applyFill="1" applyBorder="1"/>
    <xf numFmtId="0" fontId="17" fillId="0" borderId="0" xfId="0" applyFont="1" applyFill="1"/>
    <xf numFmtId="43" fontId="12" fillId="0" borderId="0" xfId="1" applyFont="1" applyFill="1"/>
    <xf numFmtId="43" fontId="13" fillId="0" borderId="0" xfId="1" applyFont="1" applyFill="1"/>
    <xf numFmtId="43" fontId="11" fillId="0" borderId="0" xfId="1" applyFont="1" applyFill="1"/>
    <xf numFmtId="43" fontId="15" fillId="0" borderId="0" xfId="1" applyFont="1" applyFill="1"/>
    <xf numFmtId="0" fontId="3" fillId="0" borderId="0" xfId="0" applyFont="1" applyFill="1" applyBorder="1" applyAlignment="1">
      <alignment horizontal="center"/>
    </xf>
    <xf numFmtId="43" fontId="9" fillId="0" borderId="0" xfId="1" applyFont="1" applyFill="1" applyBorder="1"/>
    <xf numFmtId="0" fontId="4" fillId="0" borderId="0" xfId="0" applyFont="1" applyFill="1" applyAlignment="1">
      <alignment vertical="top"/>
    </xf>
    <xf numFmtId="43" fontId="13" fillId="0" borderId="0" xfId="1" applyFont="1" applyFill="1" applyAlignment="1">
      <alignment vertical="top"/>
    </xf>
    <xf numFmtId="43" fontId="14" fillId="0" borderId="0" xfId="1" applyFont="1" applyFill="1" applyAlignment="1">
      <alignment vertical="top"/>
    </xf>
    <xf numFmtId="43" fontId="2" fillId="0" borderId="0" xfId="1" applyFont="1" applyFill="1" applyAlignment="1">
      <alignment vertical="top"/>
    </xf>
    <xf numFmtId="43" fontId="11" fillId="0" borderId="0" xfId="1" applyFont="1" applyFill="1" applyAlignment="1">
      <alignment vertical="top"/>
    </xf>
    <xf numFmtId="43" fontId="3" fillId="0" borderId="0" xfId="1" applyFont="1" applyFill="1" applyAlignment="1">
      <alignment vertical="top"/>
    </xf>
    <xf numFmtId="0" fontId="2" fillId="0" borderId="0" xfId="0" applyFont="1" applyFill="1" applyAlignment="1">
      <alignment vertical="top"/>
    </xf>
    <xf numFmtId="43" fontId="14" fillId="0" borderId="0" xfId="1" applyFont="1" applyFill="1" applyAlignment="1">
      <alignment horizontal="left" vertical="top"/>
    </xf>
    <xf numFmtId="43" fontId="2" fillId="0" borderId="0" xfId="1" applyFont="1" applyFill="1" applyAlignment="1">
      <alignment horizontal="center"/>
    </xf>
    <xf numFmtId="43" fontId="13" fillId="0" borderId="0" xfId="1" applyFont="1" applyFill="1" applyAlignment="1">
      <alignment horizontal="center"/>
    </xf>
    <xf numFmtId="43" fontId="14" fillId="0" borderId="0" xfId="1" applyFont="1" applyFill="1" applyAlignment="1">
      <alignment horizontal="center" vertical="center"/>
    </xf>
    <xf numFmtId="0" fontId="2" fillId="0" borderId="0" xfId="0" applyFont="1"/>
    <xf numFmtId="0" fontId="4" fillId="0" borderId="0" xfId="0" applyFont="1"/>
    <xf numFmtId="43" fontId="3" fillId="0" borderId="0" xfId="1" applyFont="1"/>
    <xf numFmtId="43" fontId="9" fillId="0" borderId="15" xfId="1" applyFont="1" applyBorder="1"/>
    <xf numFmtId="0" fontId="2" fillId="0" borderId="10" xfId="0" applyFont="1" applyBorder="1"/>
    <xf numFmtId="0" fontId="4" fillId="0" borderId="11" xfId="0" applyFont="1" applyBorder="1"/>
    <xf numFmtId="0" fontId="10" fillId="0" borderId="11" xfId="0" applyFont="1" applyBorder="1"/>
    <xf numFmtId="4" fontId="2" fillId="0" borderId="0" xfId="0" applyNumberFormat="1" applyFont="1"/>
    <xf numFmtId="0" fontId="3" fillId="0" borderId="0" xfId="0" applyFont="1"/>
    <xf numFmtId="43" fontId="3" fillId="0" borderId="0" xfId="0" applyNumberFormat="1" applyFont="1"/>
    <xf numFmtId="43" fontId="9" fillId="0" borderId="0" xfId="1" applyFont="1"/>
    <xf numFmtId="0" fontId="17" fillId="0" borderId="0" xfId="0" applyFont="1"/>
    <xf numFmtId="43" fontId="2" fillId="0" borderId="0" xfId="1" applyFont="1"/>
    <xf numFmtId="43" fontId="11" fillId="0" borderId="0" xfId="1" applyFont="1"/>
    <xf numFmtId="43" fontId="13" fillId="0" borderId="0" xfId="1" applyFont="1"/>
    <xf numFmtId="43" fontId="2" fillId="0" borderId="0" xfId="0" applyNumberFormat="1" applyFont="1"/>
    <xf numFmtId="43" fontId="14" fillId="0" borderId="0" xfId="1" applyFont="1"/>
    <xf numFmtId="43" fontId="12" fillId="0" borderId="0" xfId="1" applyFont="1"/>
    <xf numFmtId="43" fontId="13" fillId="0" borderId="0" xfId="1" applyFont="1" applyAlignment="1">
      <alignment horizontal="center" wrapText="1"/>
    </xf>
    <xf numFmtId="43" fontId="13" fillId="0" borderId="0" xfId="1" applyFont="1" applyAlignment="1">
      <alignment horizontal="left" wrapText="1"/>
    </xf>
    <xf numFmtId="43" fontId="19" fillId="0" borderId="7" xfId="1" applyFont="1" applyBorder="1"/>
    <xf numFmtId="43" fontId="9" fillId="0" borderId="22" xfId="1" applyFont="1" applyFill="1" applyBorder="1"/>
    <xf numFmtId="43" fontId="9" fillId="0" borderId="21" xfId="1" applyFont="1" applyFill="1" applyBorder="1"/>
    <xf numFmtId="43" fontId="13" fillId="0" borderId="0" xfId="1" applyFont="1" applyFill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43" fontId="5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 vertical="center"/>
    </xf>
    <xf numFmtId="43" fontId="3" fillId="0" borderId="6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43" fontId="14" fillId="0" borderId="0" xfId="1" applyFont="1" applyFill="1" applyAlignment="1">
      <alignment horizontal="center" vertical="top"/>
    </xf>
    <xf numFmtId="43" fontId="14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3" fontId="3" fillId="0" borderId="3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43" fontId="14" fillId="0" borderId="0" xfId="1" applyFont="1" applyAlignment="1">
      <alignment horizontal="center"/>
    </xf>
    <xf numFmtId="43" fontId="13" fillId="0" borderId="0" xfId="1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C34" sqref="C34:L38"/>
    </sheetView>
  </sheetViews>
  <sheetFormatPr defaultColWidth="9.140625" defaultRowHeight="12" x14ac:dyDescent="0.2"/>
  <cols>
    <col min="1" max="1" width="0.85546875" style="1" customWidth="1"/>
    <col min="2" max="2" width="21.5703125" style="9" customWidth="1"/>
    <col min="3" max="3" width="11.42578125" style="10" customWidth="1"/>
    <col min="4" max="4" width="9.42578125" style="10" customWidth="1"/>
    <col min="5" max="5" width="10.7109375" style="10" customWidth="1"/>
    <col min="6" max="7" width="10.5703125" style="10" customWidth="1"/>
    <col min="8" max="8" width="11.5703125" style="10" customWidth="1"/>
    <col min="9" max="9" width="10.7109375" style="10" customWidth="1"/>
    <col min="10" max="10" width="9.28515625" style="10" customWidth="1"/>
    <col min="11" max="11" width="9.85546875" style="10" customWidth="1"/>
    <col min="12" max="12" width="10.5703125" style="10" customWidth="1"/>
    <col min="13" max="13" width="11.42578125" style="10" customWidth="1"/>
    <col min="14" max="14" width="10.5703125" style="10" customWidth="1"/>
    <col min="15" max="15" width="11.42578125" style="2" customWidth="1"/>
    <col min="16" max="16384" width="9.140625" style="1"/>
  </cols>
  <sheetData>
    <row r="1" spans="1:15" ht="16.149999999999999" x14ac:dyDescent="0.4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1.45" x14ac:dyDescent="0.2">
      <c r="B2" s="65" t="s">
        <v>50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x14ac:dyDescent="0.25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ht="12.6" thickBot="1" x14ac:dyDescent="0.3"/>
    <row r="5" spans="1:15" ht="15" customHeight="1" x14ac:dyDescent="0.2">
      <c r="A5" s="67" t="s">
        <v>2</v>
      </c>
      <c r="B5" s="68"/>
      <c r="C5" s="71" t="s">
        <v>15</v>
      </c>
      <c r="D5" s="71"/>
      <c r="E5" s="71"/>
      <c r="F5" s="71" t="s">
        <v>16</v>
      </c>
      <c r="G5" s="71"/>
      <c r="H5" s="71"/>
      <c r="I5" s="71" t="s">
        <v>17</v>
      </c>
      <c r="J5" s="71"/>
      <c r="K5" s="71"/>
      <c r="L5" s="71" t="s">
        <v>18</v>
      </c>
      <c r="M5" s="71"/>
      <c r="N5" s="71"/>
      <c r="O5" s="72" t="s">
        <v>19</v>
      </c>
    </row>
    <row r="6" spans="1:15" ht="15.75" customHeight="1" thickBot="1" x14ac:dyDescent="0.25">
      <c r="A6" s="69"/>
      <c r="B6" s="70"/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14</v>
      </c>
      <c r="O6" s="73"/>
    </row>
    <row r="7" spans="1:15" ht="13.5" customHeight="1" x14ac:dyDescent="0.2">
      <c r="A7" s="3"/>
      <c r="B7" s="4" t="s">
        <v>20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6">
        <f>SUM(C7:N7)</f>
        <v>0</v>
      </c>
    </row>
    <row r="8" spans="1:15" ht="13.5" customHeight="1" x14ac:dyDescent="0.2">
      <c r="A8" s="74" t="s">
        <v>40</v>
      </c>
      <c r="B8" s="7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2"/>
    </row>
    <row r="9" spans="1:15" ht="13.5" customHeight="1" x14ac:dyDescent="0.2">
      <c r="A9" s="13"/>
      <c r="B9" s="14" t="s">
        <v>21</v>
      </c>
      <c r="C9" s="7">
        <v>2732546.25</v>
      </c>
      <c r="D9" s="7">
        <f>2732546.25-C9</f>
        <v>0</v>
      </c>
      <c r="E9" s="7">
        <f>2732546.25-D9-C9</f>
        <v>0</v>
      </c>
      <c r="F9" s="7">
        <f>3788780.25-E9-D9-C9</f>
        <v>1056234</v>
      </c>
      <c r="G9" s="7">
        <v>0</v>
      </c>
      <c r="H9" s="7">
        <f>6477400.25-G9-F9-E9-D9-C9</f>
        <v>2688620</v>
      </c>
      <c r="I9" s="7">
        <v>0</v>
      </c>
      <c r="J9" s="7">
        <v>0</v>
      </c>
      <c r="K9" s="7">
        <v>0</v>
      </c>
      <c r="L9" s="7">
        <v>0</v>
      </c>
      <c r="M9" s="7">
        <f>10229125.25-L9-K9-J9-I9-H9-G9-F9-E9-D9-C9-2251035</f>
        <v>1500690</v>
      </c>
      <c r="N9" s="7">
        <v>0</v>
      </c>
      <c r="O9" s="12">
        <f t="shared" ref="O9:O28" si="0">SUM(C9:N9)</f>
        <v>7978090.25</v>
      </c>
    </row>
    <row r="10" spans="1:15" ht="13.5" customHeight="1" x14ac:dyDescent="0.2">
      <c r="A10" s="13"/>
      <c r="B10" s="14" t="s">
        <v>22</v>
      </c>
      <c r="C10" s="7">
        <v>975162</v>
      </c>
      <c r="D10" s="7">
        <v>0</v>
      </c>
      <c r="E10" s="7">
        <v>0</v>
      </c>
      <c r="F10" s="7">
        <v>0</v>
      </c>
      <c r="G10" s="7">
        <f>976002-F10-E10-D10-C10</f>
        <v>840</v>
      </c>
      <c r="H10" s="7">
        <f>2999722-976002</f>
        <v>2023720</v>
      </c>
      <c r="I10" s="7">
        <v>0</v>
      </c>
      <c r="J10" s="7">
        <v>0</v>
      </c>
      <c r="K10" s="7">
        <v>0</v>
      </c>
      <c r="L10" s="7">
        <v>0</v>
      </c>
      <c r="M10" s="7">
        <f>4894522-2999722-71790-307776-327240-142620-114024-66684-48414-56118-2214</f>
        <v>757920</v>
      </c>
      <c r="N10" s="7">
        <f>210+210+210+210+210</f>
        <v>1050</v>
      </c>
      <c r="O10" s="12">
        <f t="shared" si="0"/>
        <v>3758692</v>
      </c>
    </row>
    <row r="11" spans="1:15" ht="13.5" customHeight="1" x14ac:dyDescent="0.2">
      <c r="A11" s="13"/>
      <c r="B11" s="14" t="s">
        <v>23</v>
      </c>
      <c r="C11" s="7">
        <v>23750</v>
      </c>
      <c r="D11" s="7">
        <f>42500-C11</f>
        <v>18750</v>
      </c>
      <c r="E11" s="7">
        <f>60400-D11-C11</f>
        <v>17900</v>
      </c>
      <c r="F11" s="7">
        <f>97825-60400</f>
        <v>37425</v>
      </c>
      <c r="G11" s="7">
        <f>193875-97825</f>
        <v>96050</v>
      </c>
      <c r="H11" s="7">
        <f>279875-193875</f>
        <v>86000</v>
      </c>
      <c r="I11" s="7">
        <f>297225-279875</f>
        <v>17350</v>
      </c>
      <c r="J11" s="7">
        <f>311775-297225</f>
        <v>14550</v>
      </c>
      <c r="K11" s="7">
        <f>322525-311775</f>
        <v>10750</v>
      </c>
      <c r="L11" s="7">
        <f>465850-322525</f>
        <v>143325</v>
      </c>
      <c r="M11" s="7">
        <f>496250-465850</f>
        <v>30400</v>
      </c>
      <c r="N11" s="7">
        <f>512200-496250</f>
        <v>15950</v>
      </c>
      <c r="O11" s="12">
        <f t="shared" si="0"/>
        <v>512200</v>
      </c>
    </row>
    <row r="12" spans="1:15" ht="13.5" customHeight="1" x14ac:dyDescent="0.2">
      <c r="A12" s="13"/>
      <c r="B12" s="14" t="s">
        <v>24</v>
      </c>
      <c r="C12" s="7">
        <f>58000</f>
        <v>58000</v>
      </c>
      <c r="D12" s="7">
        <f>127000-58000</f>
        <v>69000</v>
      </c>
      <c r="E12" s="7">
        <f>220950-127000</f>
        <v>93950</v>
      </c>
      <c r="F12" s="7">
        <f>407050-220950</f>
        <v>186100</v>
      </c>
      <c r="G12" s="7">
        <f>433800-407050</f>
        <v>26750</v>
      </c>
      <c r="H12" s="7">
        <f>449500-433800</f>
        <v>15700</v>
      </c>
      <c r="I12" s="7">
        <f>449800-449500</f>
        <v>300</v>
      </c>
      <c r="J12" s="7">
        <f>484400-449800</f>
        <v>34600</v>
      </c>
      <c r="K12" s="7">
        <f>541800-484400</f>
        <v>57400</v>
      </c>
      <c r="L12" s="7">
        <f>635550-541800</f>
        <v>93750</v>
      </c>
      <c r="M12" s="7">
        <f>754800-635550</f>
        <v>119250</v>
      </c>
      <c r="N12" s="7">
        <f>769125-754800</f>
        <v>14325</v>
      </c>
      <c r="O12" s="12">
        <f t="shared" si="0"/>
        <v>769125</v>
      </c>
    </row>
    <row r="13" spans="1:15" ht="13.5" customHeight="1" x14ac:dyDescent="0.2">
      <c r="A13" s="13"/>
      <c r="B13" s="14" t="s">
        <v>25</v>
      </c>
      <c r="C13" s="7">
        <v>13500</v>
      </c>
      <c r="D13" s="7">
        <f>23600-C13</f>
        <v>10100</v>
      </c>
      <c r="E13" s="7">
        <f>173500-23600</f>
        <v>149900</v>
      </c>
      <c r="F13" s="7">
        <f>547500-173500</f>
        <v>374000</v>
      </c>
      <c r="G13" s="7">
        <f>559600-547500</f>
        <v>12100</v>
      </c>
      <c r="H13" s="7">
        <f>582600-559600</f>
        <v>23000</v>
      </c>
      <c r="I13" s="7">
        <f>586800-582600</f>
        <v>4200</v>
      </c>
      <c r="J13" s="7">
        <f>591000-586800</f>
        <v>4200</v>
      </c>
      <c r="K13" s="7">
        <f>594800-591000</f>
        <v>3800</v>
      </c>
      <c r="L13" s="7">
        <f>610700-594800</f>
        <v>15900</v>
      </c>
      <c r="M13" s="7">
        <f>630400-610700</f>
        <v>19700</v>
      </c>
      <c r="N13" s="7">
        <f>640850-630400</f>
        <v>10450</v>
      </c>
      <c r="O13" s="12">
        <f t="shared" si="0"/>
        <v>640850</v>
      </c>
    </row>
    <row r="14" spans="1:15" ht="13.5" customHeight="1" x14ac:dyDescent="0.2">
      <c r="A14" s="13"/>
      <c r="B14" s="14" t="s">
        <v>26</v>
      </c>
      <c r="C14" s="7">
        <v>414870</v>
      </c>
      <c r="D14" s="7">
        <f>415170-C14</f>
        <v>300</v>
      </c>
      <c r="E14" s="7">
        <f>415180-415170</f>
        <v>10</v>
      </c>
      <c r="F14" s="7">
        <f>610330-415180</f>
        <v>195150</v>
      </c>
      <c r="G14" s="7">
        <f>613246-610330</f>
        <v>2916</v>
      </c>
      <c r="H14" s="7">
        <f>1455796-613246</f>
        <v>842550</v>
      </c>
      <c r="I14" s="7">
        <f>1456546-1455796</f>
        <v>750</v>
      </c>
      <c r="J14" s="7">
        <f>1456696-1456546</f>
        <v>150</v>
      </c>
      <c r="K14" s="7">
        <f>1456696-1456696</f>
        <v>0</v>
      </c>
      <c r="L14" s="7">
        <f>1456696-1456696</f>
        <v>0</v>
      </c>
      <c r="M14" s="7">
        <f>2262696-1456696-24840-105000-116520-45240-40020-23280-17460-17640-74430-18630-540</f>
        <v>322400</v>
      </c>
      <c r="N14" s="7">
        <v>650</v>
      </c>
      <c r="O14" s="12">
        <f t="shared" si="0"/>
        <v>1779746</v>
      </c>
    </row>
    <row r="15" spans="1:15" ht="13.5" customHeight="1" x14ac:dyDescent="0.2">
      <c r="A15" s="13"/>
      <c r="B15" s="15" t="s">
        <v>27</v>
      </c>
      <c r="C15" s="7">
        <v>1081942.5</v>
      </c>
      <c r="D15" s="7">
        <f>1081942.5-C15</f>
        <v>0</v>
      </c>
      <c r="E15" s="7">
        <f>1081942.5-1081942.5</f>
        <v>0</v>
      </c>
      <c r="F15" s="7">
        <f>1255492.5-1081942.5</f>
        <v>173550</v>
      </c>
      <c r="G15" s="7">
        <f>1255692.5-1255492.5</f>
        <v>200</v>
      </c>
      <c r="H15" s="7">
        <f>3712730-1255692.5</f>
        <v>2457037.5</v>
      </c>
      <c r="I15" s="7">
        <f>3713230-3712730</f>
        <v>500</v>
      </c>
      <c r="J15" s="7">
        <f>3713330-3713230</f>
        <v>100</v>
      </c>
      <c r="K15" s="7">
        <v>0</v>
      </c>
      <c r="L15" s="7">
        <f>3713330-3713330</f>
        <v>0</v>
      </c>
      <c r="M15" s="7">
        <f>5839280-3713330-52185-465870-126592.5-155955-122025-120195-72922.5-83745-63390-12420-270</f>
        <v>850380</v>
      </c>
      <c r="N15" s="7">
        <v>350</v>
      </c>
      <c r="O15" s="12">
        <f t="shared" si="0"/>
        <v>4564060</v>
      </c>
    </row>
    <row r="16" spans="1:15" ht="13.5" customHeight="1" x14ac:dyDescent="0.2">
      <c r="A16" s="13"/>
      <c r="B16" s="14" t="s">
        <v>28</v>
      </c>
      <c r="C16" s="7">
        <v>21750</v>
      </c>
      <c r="D16" s="7">
        <f>34700-C16</f>
        <v>12950</v>
      </c>
      <c r="E16" s="7">
        <f>123800-34700</f>
        <v>89100</v>
      </c>
      <c r="F16" s="7">
        <f>325250-123800</f>
        <v>201450</v>
      </c>
      <c r="G16" s="7">
        <f>351700-325250</f>
        <v>26450</v>
      </c>
      <c r="H16" s="7">
        <f>381850-351700</f>
        <v>30150</v>
      </c>
      <c r="I16" s="7">
        <f>391650-381850</f>
        <v>9800</v>
      </c>
      <c r="J16" s="7">
        <f>401250-391650</f>
        <v>9600</v>
      </c>
      <c r="K16" s="7">
        <f>411250-401250</f>
        <v>10000</v>
      </c>
      <c r="L16" s="7">
        <f>436150-411250</f>
        <v>24900</v>
      </c>
      <c r="M16" s="7">
        <f>456450-436150</f>
        <v>20300</v>
      </c>
      <c r="N16" s="7">
        <f>472050-456450</f>
        <v>15600</v>
      </c>
      <c r="O16" s="12">
        <f t="shared" si="0"/>
        <v>472050</v>
      </c>
    </row>
    <row r="17" spans="1:15" ht="13.5" customHeight="1" x14ac:dyDescent="0.2">
      <c r="A17" s="13"/>
      <c r="B17" s="14" t="s">
        <v>29</v>
      </c>
      <c r="C17" s="7">
        <v>1055458</v>
      </c>
      <c r="D17" s="7">
        <f>1087686-C17</f>
        <v>32228</v>
      </c>
      <c r="E17" s="7">
        <f>1498467-1087686</f>
        <v>410781</v>
      </c>
      <c r="F17" s="7">
        <f>2233743-1498467</f>
        <v>735276</v>
      </c>
      <c r="G17" s="7">
        <f>2618634-2233743</f>
        <v>384891</v>
      </c>
      <c r="H17" s="7">
        <f>7098739.95-2618634</f>
        <v>4480105.95</v>
      </c>
      <c r="I17" s="7">
        <f>7171690.95-7098739.95</f>
        <v>72951</v>
      </c>
      <c r="J17" s="7">
        <f>7260613.95-7171690.95</f>
        <v>88923</v>
      </c>
      <c r="K17" s="7">
        <f>7365369.95-7260613.95</f>
        <v>104756</v>
      </c>
      <c r="L17" s="7">
        <f>7589420.95-7365369.95</f>
        <v>224051</v>
      </c>
      <c r="M17" s="7">
        <f>10706290.95-7589420.95-67668.3-435275.4-452504.1-132252.6-111871.2-68598-44933.4-50881.2-195447.6-263403.6-1937.4</f>
        <v>1292097.1999999993</v>
      </c>
      <c r="N17" s="7">
        <f>2138+30300+50+300+250+1500+1465+300+50+200+536+237+237+312+237+237+1612+237+350+836+1094+1950+400+11222+48358+2516+822+486+900</f>
        <v>109132</v>
      </c>
      <c r="O17" s="12">
        <f t="shared" si="0"/>
        <v>8990650.1499999985</v>
      </c>
    </row>
    <row r="18" spans="1:15" ht="13.5" customHeight="1" x14ac:dyDescent="0.2">
      <c r="A18" s="74" t="s">
        <v>41</v>
      </c>
      <c r="B18" s="7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2"/>
    </row>
    <row r="19" spans="1:15" ht="13.5" customHeight="1" x14ac:dyDescent="0.2">
      <c r="A19" s="13"/>
      <c r="B19" s="14" t="s">
        <v>30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2">
        <f t="shared" si="0"/>
        <v>0</v>
      </c>
    </row>
    <row r="20" spans="1:15" ht="13.5" customHeight="1" x14ac:dyDescent="0.2">
      <c r="A20" s="13"/>
      <c r="B20" s="15" t="s">
        <v>31</v>
      </c>
      <c r="C20" s="7"/>
      <c r="D20" s="7"/>
      <c r="E20" s="7"/>
      <c r="F20" s="7"/>
      <c r="G20" s="7"/>
      <c r="H20" s="7"/>
      <c r="I20" s="7"/>
      <c r="J20" s="7"/>
      <c r="K20" s="7"/>
      <c r="L20" s="7">
        <v>1288109.71</v>
      </c>
      <c r="M20" s="7">
        <f>1288109.71-1288109.71</f>
        <v>0</v>
      </c>
      <c r="N20" s="7">
        <f>1288109.71-1288109.71</f>
        <v>0</v>
      </c>
      <c r="O20" s="12">
        <f t="shared" si="0"/>
        <v>1288109.71</v>
      </c>
    </row>
    <row r="21" spans="1:15" ht="13.5" customHeight="1" x14ac:dyDescent="0.2">
      <c r="A21" s="13"/>
      <c r="B21" s="14" t="s">
        <v>32</v>
      </c>
      <c r="C21" s="7">
        <v>29300</v>
      </c>
      <c r="D21" s="7">
        <f>50600-C21</f>
        <v>21300</v>
      </c>
      <c r="E21" s="7">
        <f>58300-50600</f>
        <v>7700</v>
      </c>
      <c r="F21" s="7">
        <f>66700-58300</f>
        <v>8400</v>
      </c>
      <c r="G21" s="7">
        <f>84100-66700</f>
        <v>17400</v>
      </c>
      <c r="H21" s="7">
        <f>106800-84100</f>
        <v>22700</v>
      </c>
      <c r="I21" s="7">
        <f>120900-106800</f>
        <v>14100</v>
      </c>
      <c r="J21" s="7">
        <f>135400-120900</f>
        <v>14500</v>
      </c>
      <c r="K21" s="7">
        <f>219900-135400</f>
        <v>84500</v>
      </c>
      <c r="L21" s="7">
        <f>234200-219900</f>
        <v>14300</v>
      </c>
      <c r="M21" s="7">
        <f>250200-234200</f>
        <v>16000</v>
      </c>
      <c r="N21" s="7">
        <f>263900-250200</f>
        <v>13700</v>
      </c>
      <c r="O21" s="12">
        <f t="shared" si="0"/>
        <v>263900</v>
      </c>
    </row>
    <row r="22" spans="1:15" ht="13.5" customHeight="1" x14ac:dyDescent="0.2">
      <c r="A22" s="13"/>
      <c r="B22" s="14" t="s">
        <v>33</v>
      </c>
      <c r="C22" s="7">
        <v>599067.86</v>
      </c>
      <c r="D22" s="7">
        <f>1290614.44-C22</f>
        <v>691546.58</v>
      </c>
      <c r="E22" s="7">
        <f>2290494.02-1290614.44</f>
        <v>999879.58000000007</v>
      </c>
      <c r="F22" s="7">
        <f>3273691.88-2290494.02</f>
        <v>983197.85999999987</v>
      </c>
      <c r="G22" s="7">
        <f>4263909.96-3273691.88</f>
        <v>990218.08000000007</v>
      </c>
      <c r="H22" s="7">
        <f>5280016.33-4263909.96</f>
        <v>1016106.3700000001</v>
      </c>
      <c r="I22" s="7">
        <f>6033350.52-5280016.33</f>
        <v>753334.18999999948</v>
      </c>
      <c r="J22" s="7">
        <f>6535587.21-6033350.52</f>
        <v>502236.69000000041</v>
      </c>
      <c r="K22" s="7">
        <f>6977002.75-6535587.21</f>
        <v>441415.54000000004</v>
      </c>
      <c r="L22" s="7">
        <f>7443937.73-6977002.75</f>
        <v>466934.98000000045</v>
      </c>
      <c r="M22" s="7">
        <f>7883252.62-7443937.73</f>
        <v>439314.88999999966</v>
      </c>
      <c r="N22" s="7">
        <f>8393469.02-7883252.62</f>
        <v>510216.39999999944</v>
      </c>
      <c r="O22" s="12">
        <f t="shared" si="0"/>
        <v>8393469.0199999996</v>
      </c>
    </row>
    <row r="23" spans="1:15" ht="13.5" customHeight="1" x14ac:dyDescent="0.2">
      <c r="A23" s="13"/>
      <c r="B23" s="14" t="s">
        <v>34</v>
      </c>
      <c r="C23" s="7">
        <v>8958667.5</v>
      </c>
      <c r="D23" s="7">
        <f>8958667.5-C23</f>
        <v>0</v>
      </c>
      <c r="E23" s="7">
        <f>8958667.5-8958667.5</f>
        <v>0</v>
      </c>
      <c r="F23" s="7">
        <f>11077655.5-8958667.5-7820</f>
        <v>2111168</v>
      </c>
      <c r="G23" s="7">
        <v>0</v>
      </c>
      <c r="H23" s="7">
        <f>29829179.25-11069835.5-1282-234</f>
        <v>18757827.75</v>
      </c>
      <c r="I23" s="16">
        <v>0</v>
      </c>
      <c r="J23" s="16">
        <v>0</v>
      </c>
      <c r="K23" s="7">
        <f>29827663.25-29827663.25</f>
        <v>0</v>
      </c>
      <c r="L23" s="7">
        <f>29827663.25-29827663.25</f>
        <v>0</v>
      </c>
      <c r="M23" s="7">
        <f>47209743.5-29827663.25-10433725.65</f>
        <v>6948354.5999999996</v>
      </c>
      <c r="N23" s="7">
        <v>0</v>
      </c>
      <c r="O23" s="12">
        <f t="shared" si="0"/>
        <v>36776017.850000001</v>
      </c>
    </row>
    <row r="24" spans="1:15" ht="13.5" customHeight="1" x14ac:dyDescent="0.2">
      <c r="A24" s="13"/>
      <c r="B24" s="14" t="s">
        <v>35</v>
      </c>
      <c r="C24" s="7">
        <v>400</v>
      </c>
      <c r="D24" s="7">
        <v>0</v>
      </c>
      <c r="E24" s="7">
        <f>700-400</f>
        <v>300</v>
      </c>
      <c r="F24" s="7">
        <f>8300-700</f>
        <v>7600</v>
      </c>
      <c r="G24" s="7">
        <f>9600-8300</f>
        <v>1300</v>
      </c>
      <c r="H24" s="7">
        <f>66663-9600</f>
        <v>57063</v>
      </c>
      <c r="I24" s="7">
        <f>212752.75-66663</f>
        <v>146089.75</v>
      </c>
      <c r="J24" s="7">
        <f>315445.25-212752.75</f>
        <v>102692.5</v>
      </c>
      <c r="K24" s="7">
        <f>363016.25-315445.25</f>
        <v>47571</v>
      </c>
      <c r="L24" s="7">
        <f>436986.5-363016.25</f>
        <v>73970.25</v>
      </c>
      <c r="M24" s="7">
        <f>557560.35-436986.5</f>
        <v>120573.84999999998</v>
      </c>
      <c r="N24" s="7">
        <f>763620.6-557560.35</f>
        <v>206060.25</v>
      </c>
      <c r="O24" s="12">
        <f t="shared" si="0"/>
        <v>763620.6</v>
      </c>
    </row>
    <row r="25" spans="1:15" ht="13.5" customHeight="1" x14ac:dyDescent="0.2">
      <c r="A25" s="74" t="s">
        <v>42</v>
      </c>
      <c r="B25" s="7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2"/>
    </row>
    <row r="26" spans="1:15" ht="13.5" customHeight="1" x14ac:dyDescent="0.2">
      <c r="A26" s="13"/>
      <c r="B26" s="14" t="s">
        <v>36</v>
      </c>
      <c r="C26" s="7">
        <v>0</v>
      </c>
      <c r="D26" s="7">
        <v>0</v>
      </c>
      <c r="E26" s="7">
        <v>0</v>
      </c>
      <c r="F26" s="7">
        <v>25589.08</v>
      </c>
      <c r="G26" s="7">
        <f>25589.08-25589.08</f>
        <v>0</v>
      </c>
      <c r="H26" s="7">
        <f>25589.08-25589.08</f>
        <v>0</v>
      </c>
      <c r="I26" s="7">
        <f>52898.19-25589.08</f>
        <v>27309.11</v>
      </c>
      <c r="J26" s="7">
        <f>52898.19-52898.19</f>
        <v>0</v>
      </c>
      <c r="K26" s="7">
        <f>52898.19-52898.19</f>
        <v>0</v>
      </c>
      <c r="L26" s="7">
        <f>85640.54-52898.19</f>
        <v>32742.349999999991</v>
      </c>
      <c r="M26" s="7">
        <f>85640.54-85640.54</f>
        <v>0</v>
      </c>
      <c r="N26" s="7">
        <f>85640.54-85640.54</f>
        <v>0</v>
      </c>
      <c r="O26" s="12">
        <f t="shared" si="0"/>
        <v>85640.54</v>
      </c>
    </row>
    <row r="27" spans="1:15" ht="13.5" customHeight="1" x14ac:dyDescent="0.2">
      <c r="A27" s="13"/>
      <c r="B27" s="14" t="s">
        <v>37</v>
      </c>
      <c r="C27" s="7">
        <v>27857.07</v>
      </c>
      <c r="D27" s="7">
        <f>104978.18-C27</f>
        <v>77121.109999999986</v>
      </c>
      <c r="E27" s="7">
        <f>256745.5-104978.18</f>
        <v>151767.32</v>
      </c>
      <c r="F27" s="7">
        <f>850351.98-256745.5</f>
        <v>593606.48</v>
      </c>
      <c r="G27" s="7">
        <f>1099558.44-850351.98</f>
        <v>249206.45999999996</v>
      </c>
      <c r="H27" s="7">
        <f>1600756.54-1099558.44</f>
        <v>501198.10000000009</v>
      </c>
      <c r="I27" s="7">
        <f>1622053.63-1600756.54</f>
        <v>21297.089999999851</v>
      </c>
      <c r="J27" s="7">
        <f>1766173.13-1622053.63</f>
        <v>144119.5</v>
      </c>
      <c r="K27" s="7">
        <f>1788758.13-1766173.13</f>
        <v>22585</v>
      </c>
      <c r="L27" s="7">
        <f>4138986.15-1788758.13</f>
        <v>2350228.02</v>
      </c>
      <c r="M27" s="7">
        <f>4408680.15-4138986.15</f>
        <v>269694.00000000047</v>
      </c>
      <c r="N27" s="7">
        <f>5907669.62-4408680.15</f>
        <v>1498989.4699999997</v>
      </c>
      <c r="O27" s="12">
        <f t="shared" si="0"/>
        <v>5907669.6200000001</v>
      </c>
    </row>
    <row r="28" spans="1:15" ht="13.5" customHeight="1" x14ac:dyDescent="0.2">
      <c r="A28" s="17"/>
      <c r="B28" s="18" t="s">
        <v>38</v>
      </c>
      <c r="C28" s="19">
        <v>3444.83</v>
      </c>
      <c r="D28" s="19">
        <f>5674.71-C28</f>
        <v>2229.88</v>
      </c>
      <c r="E28" s="19">
        <f>8031.14-5674.71</f>
        <v>2356.4300000000003</v>
      </c>
      <c r="F28" s="19">
        <f>24124.11-8031.14</f>
        <v>16092.970000000001</v>
      </c>
      <c r="G28" s="19">
        <f>28330.51-24124.11</f>
        <v>4206.3999999999978</v>
      </c>
      <c r="H28" s="19">
        <f>31675.32-28330.51</f>
        <v>3344.8100000000013</v>
      </c>
      <c r="I28" s="19">
        <f>37679.07-31675.32</f>
        <v>6003.75</v>
      </c>
      <c r="J28" s="19">
        <f>47811.74-37679.07</f>
        <v>10132.669999999998</v>
      </c>
      <c r="K28" s="19">
        <f>52450.01-47811.74</f>
        <v>4638.2700000000041</v>
      </c>
      <c r="L28" s="19">
        <f>66077.62-52450.01</f>
        <v>13627.609999999993</v>
      </c>
      <c r="M28" s="19">
        <f>70505.92-66077.62</f>
        <v>4428.3000000000029</v>
      </c>
      <c r="N28" s="19">
        <f>78473.97-70505.92</f>
        <v>7968.0500000000029</v>
      </c>
      <c r="O28" s="20">
        <f t="shared" si="0"/>
        <v>78473.97</v>
      </c>
    </row>
    <row r="29" spans="1:15" s="8" customFormat="1" ht="13.5" customHeight="1" thickBot="1" x14ac:dyDescent="0.3">
      <c r="A29" s="76" t="s">
        <v>39</v>
      </c>
      <c r="B29" s="76"/>
      <c r="C29" s="21">
        <f t="shared" ref="C29:O29" si="1">SUM(C7:C28)</f>
        <v>15995716.01</v>
      </c>
      <c r="D29" s="21">
        <f t="shared" si="1"/>
        <v>935525.57</v>
      </c>
      <c r="E29" s="21">
        <f t="shared" si="1"/>
        <v>1923644.33</v>
      </c>
      <c r="F29" s="21">
        <f t="shared" si="1"/>
        <v>6704839.3899999997</v>
      </c>
      <c r="G29" s="21">
        <f t="shared" si="1"/>
        <v>1812527.94</v>
      </c>
      <c r="H29" s="21">
        <f t="shared" si="1"/>
        <v>33005123.48</v>
      </c>
      <c r="I29" s="21">
        <f t="shared" si="1"/>
        <v>1073984.8899999992</v>
      </c>
      <c r="J29" s="21">
        <f t="shared" si="1"/>
        <v>925804.36000000045</v>
      </c>
      <c r="K29" s="21">
        <f t="shared" si="1"/>
        <v>787415.81</v>
      </c>
      <c r="L29" s="21">
        <f t="shared" si="1"/>
        <v>4741838.9200000009</v>
      </c>
      <c r="M29" s="21">
        <f t="shared" si="1"/>
        <v>12711502.839999998</v>
      </c>
      <c r="N29" s="21">
        <f t="shared" si="1"/>
        <v>2404441.169999999</v>
      </c>
      <c r="O29" s="21">
        <f t="shared" si="1"/>
        <v>83022364.709999993</v>
      </c>
    </row>
    <row r="30" spans="1:15" s="8" customFormat="1" ht="13.5" customHeight="1" thickTop="1" x14ac:dyDescent="0.25">
      <c r="A30" s="27"/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 x14ac:dyDescent="0.25">
      <c r="A31" s="22" t="s">
        <v>46</v>
      </c>
    </row>
    <row r="33" spans="2:15" ht="13.15" x14ac:dyDescent="0.25">
      <c r="C33" s="23"/>
      <c r="D33" s="23"/>
      <c r="E33" s="23"/>
      <c r="F33" s="23"/>
    </row>
    <row r="34" spans="2:15" ht="13.9" x14ac:dyDescent="0.3">
      <c r="C34" s="24" t="s">
        <v>43</v>
      </c>
      <c r="D34" s="24"/>
      <c r="E34" s="24"/>
      <c r="G34" s="25"/>
      <c r="H34" s="25"/>
      <c r="J34" s="24" t="s">
        <v>47</v>
      </c>
    </row>
    <row r="35" spans="2:15" ht="22.5" customHeight="1" x14ac:dyDescent="0.3">
      <c r="C35" s="24"/>
      <c r="D35" s="24"/>
      <c r="E35" s="24"/>
      <c r="G35" s="25"/>
      <c r="H35" s="25"/>
    </row>
    <row r="36" spans="2:15" s="35" customFormat="1" ht="13.9" x14ac:dyDescent="0.3">
      <c r="B36" s="29"/>
      <c r="C36" s="30"/>
      <c r="D36" s="31" t="s">
        <v>44</v>
      </c>
      <c r="E36" s="30"/>
      <c r="F36" s="32"/>
      <c r="G36" s="33"/>
      <c r="H36" s="33"/>
      <c r="I36" s="32"/>
      <c r="J36" s="32"/>
      <c r="K36" s="77" t="s">
        <v>48</v>
      </c>
      <c r="L36" s="77"/>
      <c r="M36" s="32"/>
      <c r="N36" s="32"/>
      <c r="O36" s="34"/>
    </row>
    <row r="37" spans="2:15" s="35" customFormat="1" ht="13.9" x14ac:dyDescent="0.3">
      <c r="B37" s="29"/>
      <c r="C37" s="30"/>
      <c r="D37" s="63" t="s">
        <v>45</v>
      </c>
      <c r="E37" s="63"/>
      <c r="F37" s="32"/>
      <c r="G37" s="33"/>
      <c r="H37" s="33"/>
      <c r="I37" s="32"/>
      <c r="J37" s="32"/>
      <c r="K37" s="63" t="s">
        <v>49</v>
      </c>
      <c r="L37" s="63"/>
      <c r="M37" s="32"/>
      <c r="N37" s="32"/>
      <c r="O37" s="34"/>
    </row>
    <row r="38" spans="2:15" ht="13.9" x14ac:dyDescent="0.3">
      <c r="C38" s="24"/>
      <c r="G38" s="25"/>
      <c r="H38" s="25"/>
      <c r="L38" s="24"/>
      <c r="M38" s="23"/>
      <c r="N38" s="24"/>
    </row>
    <row r="39" spans="2:15" ht="13.9" x14ac:dyDescent="0.3">
      <c r="C39" s="24"/>
      <c r="D39" s="24"/>
      <c r="E39" s="24"/>
      <c r="F39" s="24"/>
      <c r="G39" s="25"/>
      <c r="H39" s="25"/>
    </row>
    <row r="40" spans="2:15" x14ac:dyDescent="0.25">
      <c r="C40" s="25"/>
      <c r="D40" s="25"/>
      <c r="E40" s="25"/>
      <c r="F40" s="25"/>
      <c r="G40" s="25"/>
      <c r="H40" s="25"/>
    </row>
    <row r="41" spans="2:15" x14ac:dyDescent="0.25">
      <c r="N41" s="26"/>
    </row>
  </sheetData>
  <mergeCells count="16">
    <mergeCell ref="D37:E37"/>
    <mergeCell ref="K37:L37"/>
    <mergeCell ref="B1:O1"/>
    <mergeCell ref="B2:O2"/>
    <mergeCell ref="B3:O3"/>
    <mergeCell ref="A5:B6"/>
    <mergeCell ref="C5:E5"/>
    <mergeCell ref="F5:H5"/>
    <mergeCell ref="I5:K5"/>
    <mergeCell ref="L5:N5"/>
    <mergeCell ref="O5:O6"/>
    <mergeCell ref="A8:B8"/>
    <mergeCell ref="A18:B18"/>
    <mergeCell ref="A25:B25"/>
    <mergeCell ref="A29:B29"/>
    <mergeCell ref="K36:L36"/>
  </mergeCells>
  <pageMargins left="0.2" right="0.2" top="0.75" bottom="0.5" header="0.3" footer="0.3"/>
  <pageSetup paperSize="1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7" workbookViewId="0">
      <selection activeCell="C20" sqref="C20"/>
    </sheetView>
  </sheetViews>
  <sheetFormatPr defaultColWidth="9.140625" defaultRowHeight="12" x14ac:dyDescent="0.2"/>
  <cols>
    <col min="1" max="1" width="0.85546875" style="1" customWidth="1"/>
    <col min="2" max="2" width="48.28515625" style="9" customWidth="1"/>
    <col min="3" max="3" width="35.42578125" style="2" customWidth="1"/>
    <col min="4" max="16384" width="9.140625" style="1"/>
  </cols>
  <sheetData>
    <row r="1" spans="1:3" ht="16.149999999999999" x14ac:dyDescent="0.4">
      <c r="B1" s="79" t="s">
        <v>0</v>
      </c>
      <c r="C1" s="79"/>
    </row>
    <row r="2" spans="1:3" ht="11.45" x14ac:dyDescent="0.2">
      <c r="B2" s="80" t="s">
        <v>50</v>
      </c>
      <c r="C2" s="80"/>
    </row>
    <row r="3" spans="1:3" x14ac:dyDescent="0.25">
      <c r="B3" s="81" t="s">
        <v>51</v>
      </c>
      <c r="C3" s="81"/>
    </row>
    <row r="4" spans="1:3" ht="12.6" thickBot="1" x14ac:dyDescent="0.3"/>
    <row r="5" spans="1:3" ht="15" customHeight="1" x14ac:dyDescent="0.2">
      <c r="A5" s="82" t="s">
        <v>2</v>
      </c>
      <c r="B5" s="83"/>
      <c r="C5" s="72" t="s">
        <v>19</v>
      </c>
    </row>
    <row r="6" spans="1:3" ht="15.75" customHeight="1" thickBot="1" x14ac:dyDescent="0.25">
      <c r="A6" s="84"/>
      <c r="B6" s="85"/>
      <c r="C6" s="73"/>
    </row>
    <row r="7" spans="1:3" ht="24.6" customHeight="1" x14ac:dyDescent="0.2">
      <c r="A7" s="74" t="s">
        <v>40</v>
      </c>
      <c r="B7" s="75"/>
      <c r="C7" s="12"/>
    </row>
    <row r="8" spans="1:3" ht="24.6" customHeight="1" x14ac:dyDescent="0.2">
      <c r="A8" s="13"/>
      <c r="B8" s="14" t="s">
        <v>21</v>
      </c>
      <c r="C8" s="12">
        <v>12600</v>
      </c>
    </row>
    <row r="9" spans="1:3" ht="24.6" customHeight="1" x14ac:dyDescent="0.2">
      <c r="A9" s="13"/>
      <c r="B9" s="14" t="s">
        <v>22</v>
      </c>
      <c r="C9" s="12">
        <v>30950</v>
      </c>
    </row>
    <row r="10" spans="1:3" ht="24.6" customHeight="1" x14ac:dyDescent="0.2">
      <c r="A10" s="13"/>
      <c r="B10" s="14" t="s">
        <v>25</v>
      </c>
      <c r="C10" s="12">
        <v>17200</v>
      </c>
    </row>
    <row r="11" spans="1:3" ht="24.6" customHeight="1" x14ac:dyDescent="0.2">
      <c r="A11" s="13"/>
      <c r="B11" s="14" t="s">
        <v>26</v>
      </c>
      <c r="C11" s="12">
        <v>32170</v>
      </c>
    </row>
    <row r="12" spans="1:3" ht="24.6" customHeight="1" x14ac:dyDescent="0.2">
      <c r="A12" s="13"/>
      <c r="B12" s="15" t="s">
        <v>27</v>
      </c>
      <c r="C12" s="12">
        <v>67678</v>
      </c>
    </row>
    <row r="13" spans="1:3" ht="24.6" customHeight="1" x14ac:dyDescent="0.2">
      <c r="A13" s="13"/>
      <c r="B13" s="14" t="s">
        <v>28</v>
      </c>
      <c r="C13" s="12">
        <v>6000</v>
      </c>
    </row>
    <row r="14" spans="1:3" ht="24.6" customHeight="1" x14ac:dyDescent="0.2">
      <c r="A14" s="13"/>
      <c r="B14" s="14" t="s">
        <v>29</v>
      </c>
      <c r="C14" s="12">
        <v>308255.5</v>
      </c>
    </row>
    <row r="15" spans="1:3" ht="24.6" customHeight="1" x14ac:dyDescent="0.2">
      <c r="A15" s="13"/>
      <c r="B15" s="14" t="s">
        <v>34</v>
      </c>
      <c r="C15" s="12">
        <v>471829</v>
      </c>
    </row>
    <row r="16" spans="1:3" ht="24.6" customHeight="1" thickBot="1" x14ac:dyDescent="0.25">
      <c r="A16" s="13"/>
      <c r="B16" s="14" t="s">
        <v>36</v>
      </c>
      <c r="C16" s="61">
        <v>2263.35</v>
      </c>
    </row>
    <row r="17" spans="1:11" s="8" customFormat="1" ht="28.9" customHeight="1" thickBot="1" x14ac:dyDescent="0.3">
      <c r="A17" s="76" t="s">
        <v>39</v>
      </c>
      <c r="B17" s="76"/>
      <c r="C17" s="62">
        <f>SUM(C7:C16)</f>
        <v>948945.85</v>
      </c>
    </row>
    <row r="18" spans="1:11" s="8" customFormat="1" ht="13.5" customHeight="1" thickTop="1" x14ac:dyDescent="0.25">
      <c r="A18" s="27"/>
      <c r="B18" s="27"/>
      <c r="C18" s="28"/>
    </row>
    <row r="19" spans="1:11" x14ac:dyDescent="0.25">
      <c r="A19" s="22"/>
    </row>
    <row r="20" spans="1:11" ht="13.9" x14ac:dyDescent="0.3">
      <c r="B20" s="24" t="s">
        <v>43</v>
      </c>
      <c r="C20" s="24"/>
      <c r="D20" s="24"/>
      <c r="E20" s="10"/>
      <c r="F20" s="25"/>
      <c r="G20" s="25"/>
      <c r="H20" s="10"/>
      <c r="I20" s="24"/>
      <c r="J20" s="10"/>
      <c r="K20" s="10"/>
    </row>
    <row r="21" spans="1:11" ht="13.9" x14ac:dyDescent="0.3">
      <c r="B21" s="24"/>
      <c r="C21" s="24"/>
      <c r="D21" s="24"/>
      <c r="E21" s="10"/>
      <c r="F21" s="25"/>
      <c r="G21" s="25"/>
      <c r="H21" s="10"/>
      <c r="I21" s="10"/>
      <c r="J21" s="10"/>
      <c r="K21" s="10"/>
    </row>
    <row r="22" spans="1:11" ht="13.9" x14ac:dyDescent="0.2">
      <c r="B22" s="30"/>
      <c r="C22" s="36"/>
      <c r="D22" s="30"/>
      <c r="E22" s="32"/>
      <c r="F22" s="33"/>
      <c r="G22" s="33"/>
      <c r="H22" s="32"/>
      <c r="I22" s="32"/>
      <c r="J22" s="77"/>
      <c r="K22" s="77"/>
    </row>
    <row r="23" spans="1:11" ht="22.5" customHeight="1" x14ac:dyDescent="0.2">
      <c r="B23" s="39" t="s">
        <v>44</v>
      </c>
      <c r="C23" s="78" t="s">
        <v>48</v>
      </c>
      <c r="D23" s="78"/>
      <c r="E23" s="32"/>
      <c r="F23" s="33"/>
      <c r="G23" s="33"/>
      <c r="H23" s="32"/>
      <c r="I23" s="32"/>
      <c r="J23" s="63"/>
      <c r="K23" s="63"/>
    </row>
    <row r="24" spans="1:11" s="35" customFormat="1" ht="13.9" x14ac:dyDescent="0.3">
      <c r="B24" s="38" t="s">
        <v>52</v>
      </c>
      <c r="C24" s="37" t="s">
        <v>53</v>
      </c>
      <c r="D24" s="10"/>
      <c r="E24" s="10"/>
      <c r="F24" s="25"/>
      <c r="G24" s="25"/>
      <c r="H24" s="10"/>
      <c r="I24" s="10"/>
      <c r="J24" s="10"/>
      <c r="K24" s="24"/>
    </row>
    <row r="25" spans="1:11" s="35" customFormat="1" x14ac:dyDescent="0.3">
      <c r="B25" s="29"/>
      <c r="C25" s="34"/>
    </row>
  </sheetData>
  <mergeCells count="10">
    <mergeCell ref="B1:C1"/>
    <mergeCell ref="B2:C2"/>
    <mergeCell ref="B3:C3"/>
    <mergeCell ref="A5:B6"/>
    <mergeCell ref="C5:C6"/>
    <mergeCell ref="J22:K22"/>
    <mergeCell ref="C23:D23"/>
    <mergeCell ref="J23:K23"/>
    <mergeCell ref="A7:B7"/>
    <mergeCell ref="A17:B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C12" sqref="C12"/>
    </sheetView>
  </sheetViews>
  <sheetFormatPr defaultColWidth="9.140625" defaultRowHeight="12" x14ac:dyDescent="0.2"/>
  <cols>
    <col min="1" max="1" width="14.7109375" style="40" customWidth="1"/>
    <col min="2" max="2" width="40.140625" style="41" customWidth="1"/>
    <col min="3" max="3" width="48" style="42" customWidth="1"/>
    <col min="4" max="4" width="12.140625" style="40" customWidth="1"/>
    <col min="5" max="5" width="13.5703125" style="40" bestFit="1" customWidth="1"/>
    <col min="6" max="16384" width="9.140625" style="40"/>
  </cols>
  <sheetData>
    <row r="1" spans="1:5" ht="16.149999999999999" x14ac:dyDescent="0.4">
      <c r="B1" s="99" t="s">
        <v>0</v>
      </c>
      <c r="C1" s="99"/>
    </row>
    <row r="2" spans="1:5" ht="11.45" x14ac:dyDescent="0.2">
      <c r="B2" s="86" t="s">
        <v>50</v>
      </c>
      <c r="C2" s="86"/>
    </row>
    <row r="3" spans="1:5" x14ac:dyDescent="0.25">
      <c r="B3" s="87" t="s">
        <v>54</v>
      </c>
      <c r="C3" s="87"/>
    </row>
    <row r="4" spans="1:5" ht="12.6" thickBot="1" x14ac:dyDescent="0.3"/>
    <row r="5" spans="1:5" x14ac:dyDescent="0.2">
      <c r="A5" s="95" t="s">
        <v>2</v>
      </c>
      <c r="B5" s="96"/>
      <c r="C5" s="88" t="s">
        <v>19</v>
      </c>
    </row>
    <row r="6" spans="1:5" ht="12.75" thickBot="1" x14ac:dyDescent="0.25">
      <c r="A6" s="97"/>
      <c r="B6" s="98"/>
      <c r="C6" s="89"/>
    </row>
    <row r="7" spans="1:5" ht="16.899999999999999" customHeight="1" x14ac:dyDescent="0.2">
      <c r="A7" s="90" t="s">
        <v>40</v>
      </c>
      <c r="B7" s="91"/>
      <c r="C7" s="43"/>
    </row>
    <row r="8" spans="1:5" ht="34.15" customHeight="1" x14ac:dyDescent="0.2">
      <c r="A8" s="44"/>
      <c r="B8" s="45" t="s">
        <v>23</v>
      </c>
      <c r="C8" s="43">
        <v>6350</v>
      </c>
    </row>
    <row r="9" spans="1:5" ht="34.15" customHeight="1" x14ac:dyDescent="0.2">
      <c r="A9" s="44"/>
      <c r="B9" s="45" t="s">
        <v>24</v>
      </c>
      <c r="C9" s="43">
        <v>8358</v>
      </c>
    </row>
    <row r="10" spans="1:5" ht="34.15" customHeight="1" x14ac:dyDescent="0.2">
      <c r="A10" s="44"/>
      <c r="B10" s="45" t="s">
        <v>25</v>
      </c>
      <c r="C10" s="43">
        <v>31840</v>
      </c>
    </row>
    <row r="11" spans="1:5" ht="34.15" customHeight="1" x14ac:dyDescent="0.2">
      <c r="A11" s="44"/>
      <c r="B11" s="46" t="s">
        <v>27</v>
      </c>
      <c r="C11" s="43">
        <v>13180</v>
      </c>
    </row>
    <row r="12" spans="1:5" ht="34.15" customHeight="1" x14ac:dyDescent="0.2">
      <c r="A12" s="44"/>
      <c r="B12" s="45" t="s">
        <v>28</v>
      </c>
      <c r="C12" s="43">
        <v>16425</v>
      </c>
    </row>
    <row r="13" spans="1:5" ht="34.15" customHeight="1" x14ac:dyDescent="0.2">
      <c r="A13" s="44"/>
      <c r="B13" s="45" t="s">
        <v>29</v>
      </c>
      <c r="C13" s="43">
        <v>332679</v>
      </c>
    </row>
    <row r="14" spans="1:5" ht="34.15" customHeight="1" x14ac:dyDescent="0.2">
      <c r="A14" s="44"/>
      <c r="B14" s="45" t="s">
        <v>33</v>
      </c>
      <c r="C14" s="43">
        <v>33474</v>
      </c>
    </row>
    <row r="15" spans="1:5" ht="34.15" customHeight="1" x14ac:dyDescent="0.2">
      <c r="A15" s="44"/>
      <c r="B15" s="45" t="s">
        <v>34</v>
      </c>
      <c r="C15" s="43">
        <v>1291002.5</v>
      </c>
      <c r="D15" s="47"/>
      <c r="E15" s="47"/>
    </row>
    <row r="16" spans="1:5" s="48" customFormat="1" ht="36" customHeight="1" thickBot="1" x14ac:dyDescent="0.3">
      <c r="A16" s="92" t="s">
        <v>39</v>
      </c>
      <c r="B16" s="92"/>
      <c r="C16" s="60">
        <f>SUM(C7:C15)</f>
        <v>1733308.5</v>
      </c>
      <c r="E16" s="49"/>
    </row>
    <row r="17" spans="1:20" thickTop="1" x14ac:dyDescent="0.2">
      <c r="C17" s="50"/>
    </row>
    <row r="18" spans="1:20" x14ac:dyDescent="0.25">
      <c r="A18" s="51" t="s">
        <v>46</v>
      </c>
    </row>
    <row r="20" spans="1:20" x14ac:dyDescent="0.25">
      <c r="B20" s="40"/>
      <c r="C20" s="40"/>
      <c r="F20" s="52"/>
      <c r="G20" s="53"/>
      <c r="H20" s="53"/>
      <c r="I20" s="52"/>
      <c r="M20" s="52"/>
      <c r="N20" s="52"/>
      <c r="O20" s="42"/>
      <c r="P20" s="42"/>
      <c r="Q20" s="48"/>
    </row>
    <row r="21" spans="1:20" ht="22.5" customHeight="1" x14ac:dyDescent="0.3">
      <c r="A21" s="54" t="s">
        <v>43</v>
      </c>
      <c r="B21" s="54"/>
      <c r="C21" s="54" t="s">
        <v>47</v>
      </c>
      <c r="E21" s="52"/>
      <c r="F21" s="52"/>
      <c r="G21" s="53"/>
      <c r="H21" s="53"/>
      <c r="I21" s="52"/>
      <c r="M21" s="52"/>
      <c r="N21" s="52"/>
      <c r="O21" s="42"/>
      <c r="P21" s="42"/>
      <c r="Q21" s="48"/>
      <c r="T21" s="55"/>
    </row>
    <row r="22" spans="1:20" ht="13.9" x14ac:dyDescent="0.3">
      <c r="A22" s="54"/>
      <c r="B22" s="54"/>
      <c r="C22" s="54"/>
      <c r="D22" s="52"/>
      <c r="E22" s="52"/>
      <c r="F22" s="52"/>
      <c r="G22" s="53"/>
      <c r="H22" s="53"/>
      <c r="I22" s="52"/>
      <c r="M22" s="52"/>
      <c r="N22" s="52"/>
      <c r="O22" s="42"/>
      <c r="P22" s="42"/>
      <c r="Q22" s="48"/>
    </row>
    <row r="23" spans="1:20" ht="13.9" x14ac:dyDescent="0.3">
      <c r="A23" s="54"/>
      <c r="B23" s="54"/>
      <c r="C23" s="54"/>
      <c r="D23" s="52"/>
      <c r="E23" s="52"/>
      <c r="F23" s="52"/>
      <c r="G23" s="53"/>
      <c r="H23" s="53"/>
      <c r="I23" s="52"/>
      <c r="M23" s="52"/>
      <c r="N23" s="52"/>
      <c r="O23" s="42"/>
      <c r="P23" s="42"/>
      <c r="Q23" s="48"/>
    </row>
    <row r="24" spans="1:20" ht="13.9" x14ac:dyDescent="0.3">
      <c r="A24" s="54"/>
      <c r="B24" s="54"/>
      <c r="C24" s="54"/>
      <c r="D24" s="52"/>
      <c r="E24" s="52"/>
      <c r="F24" s="52"/>
      <c r="G24" s="53"/>
      <c r="H24" s="53"/>
      <c r="I24" s="52"/>
      <c r="M24" s="52"/>
      <c r="N24" s="52"/>
      <c r="O24" s="42"/>
      <c r="P24" s="42"/>
      <c r="Q24" s="48"/>
    </row>
    <row r="25" spans="1:20" ht="13.9" x14ac:dyDescent="0.3">
      <c r="A25" s="56" t="s">
        <v>44</v>
      </c>
      <c r="C25" s="56" t="s">
        <v>48</v>
      </c>
      <c r="D25" s="52"/>
      <c r="E25" s="93"/>
      <c r="F25" s="93"/>
      <c r="G25" s="53"/>
      <c r="H25" s="53"/>
      <c r="I25" s="52"/>
      <c r="M25" s="52"/>
      <c r="N25" s="52"/>
      <c r="O25" s="42"/>
      <c r="P25" s="42"/>
      <c r="Q25" s="48"/>
    </row>
    <row r="26" spans="1:20" ht="13.9" x14ac:dyDescent="0.3">
      <c r="A26" s="54" t="s">
        <v>52</v>
      </c>
      <c r="B26" s="58"/>
      <c r="C26" s="59" t="s">
        <v>49</v>
      </c>
      <c r="D26" s="52"/>
      <c r="E26" s="94"/>
      <c r="F26" s="94"/>
      <c r="G26" s="53"/>
      <c r="H26" s="53"/>
      <c r="I26" s="52"/>
      <c r="M26" s="57"/>
      <c r="N26" s="54"/>
      <c r="O26" s="42"/>
      <c r="P26" s="42"/>
      <c r="Q26" s="48"/>
    </row>
    <row r="27" spans="1:20" ht="13.9" x14ac:dyDescent="0.3">
      <c r="A27" s="54"/>
      <c r="B27" s="52"/>
      <c r="C27" s="52"/>
      <c r="D27" s="52"/>
      <c r="E27" s="52"/>
      <c r="F27" s="54"/>
    </row>
    <row r="28" spans="1:20" x14ac:dyDescent="0.25">
      <c r="B28" s="40"/>
    </row>
    <row r="29" spans="1:20" x14ac:dyDescent="0.25">
      <c r="B29" s="40"/>
    </row>
    <row r="30" spans="1:20" x14ac:dyDescent="0.25">
      <c r="B30" s="40"/>
    </row>
  </sheetData>
  <mergeCells count="9">
    <mergeCell ref="E25:F25"/>
    <mergeCell ref="E26:F26"/>
    <mergeCell ref="A5:B6"/>
    <mergeCell ref="B1:C1"/>
    <mergeCell ref="B2:C2"/>
    <mergeCell ref="B3:C3"/>
    <mergeCell ref="C5:C6"/>
    <mergeCell ref="A7:B7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BSU MAIN UNIVERSITY</vt:lpstr>
      <vt:lpstr>Bokod</vt:lpstr>
      <vt:lpstr>Buguias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acct</dc:creator>
  <cp:lastModifiedBy>TabDiBaLiLi</cp:lastModifiedBy>
  <cp:lastPrinted>2013-05-24T21:23:07Z</cp:lastPrinted>
  <dcterms:created xsi:type="dcterms:W3CDTF">2013-04-19T18:13:44Z</dcterms:created>
  <dcterms:modified xsi:type="dcterms:W3CDTF">2014-02-15T08:51:29Z</dcterms:modified>
</cp:coreProperties>
</file>