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1"/>
  </bookViews>
  <sheets>
    <sheet name="911sp 2009" sheetId="1" r:id="rId1"/>
    <sheet name="911 sp 2013" sheetId="3" r:id="rId2"/>
  </sheets>
  <externalReferences>
    <externalReference r:id="rId3"/>
  </externalReferenc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1" i="3"/>
  <c r="F77" s="1"/>
  <c r="C241"/>
  <c r="B236"/>
  <c r="B235"/>
  <c r="C231"/>
  <c r="E231" s="1"/>
  <c r="D229"/>
  <c r="C227"/>
  <c r="E227" s="1"/>
  <c r="F63" s="1"/>
  <c r="C225"/>
  <c r="E225" s="1"/>
  <c r="C219"/>
  <c r="E219" s="1"/>
  <c r="C216"/>
  <c r="D215"/>
  <c r="C215"/>
  <c r="E215" s="1"/>
  <c r="F51" s="1"/>
  <c r="D208"/>
  <c r="C201"/>
  <c r="E201" s="1"/>
  <c r="D195"/>
  <c r="B194"/>
  <c r="D192"/>
  <c r="D191"/>
  <c r="D190"/>
  <c r="D189"/>
  <c r="C182"/>
  <c r="B182"/>
  <c r="C180"/>
  <c r="E180" s="1"/>
  <c r="C179"/>
  <c r="E179" s="1"/>
  <c r="C178"/>
  <c r="E178" s="1"/>
  <c r="C176"/>
  <c r="E176" s="1"/>
  <c r="C163"/>
  <c r="B163"/>
  <c r="E163" s="1"/>
  <c r="C162"/>
  <c r="B162"/>
  <c r="E162" s="1"/>
  <c r="E161"/>
  <c r="C161"/>
  <c r="B161"/>
  <c r="C160"/>
  <c r="B160"/>
  <c r="E160" s="1"/>
  <c r="C159"/>
  <c r="B159"/>
  <c r="E159" s="1"/>
  <c r="E158"/>
  <c r="E157"/>
  <c r="C157"/>
  <c r="C240" s="1"/>
  <c r="E240" s="1"/>
  <c r="F76" s="1"/>
  <c r="E156"/>
  <c r="E155"/>
  <c r="E154"/>
  <c r="C153"/>
  <c r="B153"/>
  <c r="E153" s="1"/>
  <c r="D152"/>
  <c r="D164" s="1"/>
  <c r="C152"/>
  <c r="B152"/>
  <c r="C151"/>
  <c r="B151"/>
  <c r="E151" s="1"/>
  <c r="C150"/>
  <c r="E150" s="1"/>
  <c r="B150"/>
  <c r="E149"/>
  <c r="C148"/>
  <c r="E148" s="1"/>
  <c r="C147"/>
  <c r="B147"/>
  <c r="E146"/>
  <c r="C145"/>
  <c r="E144"/>
  <c r="C143"/>
  <c r="B143"/>
  <c r="E142"/>
  <c r="C140"/>
  <c r="C139"/>
  <c r="C222" s="1"/>
  <c r="E222" s="1"/>
  <c r="E138"/>
  <c r="E137"/>
  <c r="C136"/>
  <c r="E136" s="1"/>
  <c r="E135"/>
  <c r="C135"/>
  <c r="B135"/>
  <c r="D134"/>
  <c r="C134"/>
  <c r="B134"/>
  <c r="C133"/>
  <c r="B133"/>
  <c r="E133" s="1"/>
  <c r="E132"/>
  <c r="E131"/>
  <c r="E130"/>
  <c r="C130"/>
  <c r="E129"/>
  <c r="D128"/>
  <c r="D211" s="1"/>
  <c r="C128"/>
  <c r="C211" s="1"/>
  <c r="B128"/>
  <c r="E128" s="1"/>
  <c r="C127"/>
  <c r="E127" s="1"/>
  <c r="D126"/>
  <c r="C126"/>
  <c r="B126"/>
  <c r="E126" s="1"/>
  <c r="D125"/>
  <c r="C125"/>
  <c r="C208" s="1"/>
  <c r="B125"/>
  <c r="B123"/>
  <c r="D122"/>
  <c r="D123" s="1"/>
  <c r="C122"/>
  <c r="C123" s="1"/>
  <c r="B122"/>
  <c r="E122" s="1"/>
  <c r="E123" s="1"/>
  <c r="E118"/>
  <c r="C117"/>
  <c r="E117" s="1"/>
  <c r="E116"/>
  <c r="C116"/>
  <c r="E115"/>
  <c r="C114"/>
  <c r="E114" s="1"/>
  <c r="B114"/>
  <c r="C113"/>
  <c r="B113"/>
  <c r="E113" s="1"/>
  <c r="C112"/>
  <c r="B112"/>
  <c r="E112" s="1"/>
  <c r="E111"/>
  <c r="C111"/>
  <c r="B111"/>
  <c r="C110"/>
  <c r="E110" s="1"/>
  <c r="B110"/>
  <c r="C109"/>
  <c r="B109"/>
  <c r="C108"/>
  <c r="B108"/>
  <c r="E108" s="1"/>
  <c r="E107"/>
  <c r="C107"/>
  <c r="B107"/>
  <c r="C106"/>
  <c r="E106" s="1"/>
  <c r="B106"/>
  <c r="D105"/>
  <c r="C105"/>
  <c r="E105" s="1"/>
  <c r="B105"/>
  <c r="C104"/>
  <c r="B104"/>
  <c r="E104" s="1"/>
  <c r="C103"/>
  <c r="B103"/>
  <c r="E103" s="1"/>
  <c r="E102"/>
  <c r="D101"/>
  <c r="C101"/>
  <c r="B101"/>
  <c r="E101" s="1"/>
  <c r="D100"/>
  <c r="D183" s="1"/>
  <c r="C100"/>
  <c r="B100"/>
  <c r="E100" s="1"/>
  <c r="E99"/>
  <c r="D98"/>
  <c r="C98"/>
  <c r="E98" s="1"/>
  <c r="B98"/>
  <c r="C97"/>
  <c r="E97" s="1"/>
  <c r="E96"/>
  <c r="E95"/>
  <c r="C94"/>
  <c r="C177" s="1"/>
  <c r="E177" s="1"/>
  <c r="E93"/>
  <c r="C93"/>
  <c r="C92"/>
  <c r="C175" s="1"/>
  <c r="E175" s="1"/>
  <c r="E91"/>
  <c r="D91"/>
  <c r="D90"/>
  <c r="D119" s="1"/>
  <c r="E89"/>
  <c r="C89"/>
  <c r="B89"/>
  <c r="C82"/>
  <c r="E82" s="1"/>
  <c r="C81"/>
  <c r="C245" s="1"/>
  <c r="E245" s="1"/>
  <c r="F81" s="1"/>
  <c r="E80"/>
  <c r="C80"/>
  <c r="C244" s="1"/>
  <c r="E244" s="1"/>
  <c r="F80" s="1"/>
  <c r="C79"/>
  <c r="C78"/>
  <c r="C242" s="1"/>
  <c r="E242" s="1"/>
  <c r="F78" s="1"/>
  <c r="B78"/>
  <c r="E78" s="1"/>
  <c r="E77"/>
  <c r="E76"/>
  <c r="C75"/>
  <c r="E75" s="1"/>
  <c r="C74"/>
  <c r="C238" s="1"/>
  <c r="E238" s="1"/>
  <c r="F74" s="1"/>
  <c r="E73"/>
  <c r="C73"/>
  <c r="C237" s="1"/>
  <c r="E237" s="1"/>
  <c r="F73" s="1"/>
  <c r="C72"/>
  <c r="D71"/>
  <c r="D235" s="1"/>
  <c r="C71"/>
  <c r="B71"/>
  <c r="C70"/>
  <c r="B70"/>
  <c r="C69"/>
  <c r="E69" s="1"/>
  <c r="C68"/>
  <c r="C232" s="1"/>
  <c r="E232" s="1"/>
  <c r="F68" s="1"/>
  <c r="F67"/>
  <c r="E67"/>
  <c r="C66"/>
  <c r="E65"/>
  <c r="E64"/>
  <c r="C63"/>
  <c r="E63" s="1"/>
  <c r="C62"/>
  <c r="C226" s="1"/>
  <c r="E226" s="1"/>
  <c r="F62" s="1"/>
  <c r="B62"/>
  <c r="E62" s="1"/>
  <c r="F61"/>
  <c r="E61"/>
  <c r="F60"/>
  <c r="F58"/>
  <c r="E58"/>
  <c r="C57"/>
  <c r="E57" s="1"/>
  <c r="C56"/>
  <c r="C220" s="1"/>
  <c r="E220" s="1"/>
  <c r="F56" s="1"/>
  <c r="F55"/>
  <c r="D55"/>
  <c r="C55"/>
  <c r="B55"/>
  <c r="E55" s="1"/>
  <c r="D54"/>
  <c r="D218" s="1"/>
  <c r="C54"/>
  <c r="B54"/>
  <c r="D53"/>
  <c r="C53"/>
  <c r="B53"/>
  <c r="B217" s="1"/>
  <c r="E52"/>
  <c r="C52"/>
  <c r="B52"/>
  <c r="B59" s="1"/>
  <c r="E51"/>
  <c r="C51"/>
  <c r="E50"/>
  <c r="C50"/>
  <c r="C214" s="1"/>
  <c r="E214" s="1"/>
  <c r="F50" s="1"/>
  <c r="E49"/>
  <c r="C49"/>
  <c r="C213" s="1"/>
  <c r="E213" s="1"/>
  <c r="F49" s="1"/>
  <c r="C48"/>
  <c r="E47"/>
  <c r="E46"/>
  <c r="D46"/>
  <c r="C46"/>
  <c r="C210" s="1"/>
  <c r="C45"/>
  <c r="E44"/>
  <c r="F43"/>
  <c r="C41"/>
  <c r="F40"/>
  <c r="F39"/>
  <c r="F37"/>
  <c r="E37"/>
  <c r="C37"/>
  <c r="C36"/>
  <c r="C200" s="1"/>
  <c r="E200" s="1"/>
  <c r="F36" s="1"/>
  <c r="E35"/>
  <c r="C35"/>
  <c r="C199" s="1"/>
  <c r="E199" s="1"/>
  <c r="F35" s="1"/>
  <c r="F34"/>
  <c r="C34"/>
  <c r="C198" s="1"/>
  <c r="E198" s="1"/>
  <c r="E33"/>
  <c r="C33"/>
  <c r="C197" s="1"/>
  <c r="E197" s="1"/>
  <c r="F33" s="1"/>
  <c r="B33"/>
  <c r="F32"/>
  <c r="E32"/>
  <c r="C32"/>
  <c r="C196" s="1"/>
  <c r="E196" s="1"/>
  <c r="C31"/>
  <c r="C195" s="1"/>
  <c r="E195" s="1"/>
  <c r="F31" s="1"/>
  <c r="B31"/>
  <c r="C30"/>
  <c r="C194" s="1"/>
  <c r="B30"/>
  <c r="C29"/>
  <c r="C193" s="1"/>
  <c r="B29"/>
  <c r="B193" s="1"/>
  <c r="C28"/>
  <c r="C192" s="1"/>
  <c r="C27"/>
  <c r="C191" s="1"/>
  <c r="B27"/>
  <c r="B191" s="1"/>
  <c r="E191" s="1"/>
  <c r="F27" s="1"/>
  <c r="C26"/>
  <c r="C190" s="1"/>
  <c r="B26"/>
  <c r="B190" s="1"/>
  <c r="E190" s="1"/>
  <c r="F26" s="1"/>
  <c r="C25"/>
  <c r="C189" s="1"/>
  <c r="B25"/>
  <c r="B189" s="1"/>
  <c r="E189" s="1"/>
  <c r="F25" s="1"/>
  <c r="C24"/>
  <c r="C188" s="1"/>
  <c r="B24"/>
  <c r="B188" s="1"/>
  <c r="E188" s="1"/>
  <c r="F24" s="1"/>
  <c r="C23"/>
  <c r="C187" s="1"/>
  <c r="B23"/>
  <c r="B187" s="1"/>
  <c r="C22"/>
  <c r="C186" s="1"/>
  <c r="B22"/>
  <c r="B186" s="1"/>
  <c r="E186" s="1"/>
  <c r="F22" s="1"/>
  <c r="C21"/>
  <c r="C185" s="1"/>
  <c r="E185" s="1"/>
  <c r="F21" s="1"/>
  <c r="D20"/>
  <c r="C20"/>
  <c r="C184" s="1"/>
  <c r="B20"/>
  <c r="B184" s="1"/>
  <c r="C19"/>
  <c r="C183" s="1"/>
  <c r="E183" s="1"/>
  <c r="F19" s="1"/>
  <c r="B19"/>
  <c r="E19" s="1"/>
  <c r="E18"/>
  <c r="E17"/>
  <c r="D17"/>
  <c r="D181" s="1"/>
  <c r="C17"/>
  <c r="C181" s="1"/>
  <c r="E181" s="1"/>
  <c r="F17" s="1"/>
  <c r="B17"/>
  <c r="B38" s="1"/>
  <c r="F16"/>
  <c r="E16"/>
  <c r="F15"/>
  <c r="E15"/>
  <c r="F14"/>
  <c r="E14"/>
  <c r="F13"/>
  <c r="E13"/>
  <c r="F12"/>
  <c r="E12"/>
  <c r="F11"/>
  <c r="E11"/>
  <c r="D10"/>
  <c r="D174" s="1"/>
  <c r="C10"/>
  <c r="C174" s="1"/>
  <c r="D9"/>
  <c r="E8"/>
  <c r="C8"/>
  <c r="C172" s="1"/>
  <c r="E184" l="1"/>
  <c r="F20" s="1"/>
  <c r="D173"/>
  <c r="D38"/>
  <c r="E21"/>
  <c r="E22"/>
  <c r="E23"/>
  <c r="E24"/>
  <c r="E25"/>
  <c r="E26"/>
  <c r="E27"/>
  <c r="E109"/>
  <c r="B192"/>
  <c r="E192" s="1"/>
  <c r="F28" s="1"/>
  <c r="E134"/>
  <c r="E143"/>
  <c r="B164"/>
  <c r="B202"/>
  <c r="C202"/>
  <c r="E9"/>
  <c r="E10"/>
  <c r="E38" s="1"/>
  <c r="E20"/>
  <c r="E193"/>
  <c r="F29" s="1"/>
  <c r="E34"/>
  <c r="C38"/>
  <c r="D210"/>
  <c r="E210" s="1"/>
  <c r="F46" s="1"/>
  <c r="D59"/>
  <c r="C212"/>
  <c r="E212" s="1"/>
  <c r="F48" s="1"/>
  <c r="E48"/>
  <c r="E54"/>
  <c r="C218"/>
  <c r="E218" s="1"/>
  <c r="F54" s="1"/>
  <c r="C230"/>
  <c r="E230" s="1"/>
  <c r="F66" s="1"/>
  <c r="E66"/>
  <c r="E71"/>
  <c r="C235"/>
  <c r="E79"/>
  <c r="C243"/>
  <c r="E243" s="1"/>
  <c r="F79" s="1"/>
  <c r="D140"/>
  <c r="D165" s="1"/>
  <c r="E147"/>
  <c r="E152"/>
  <c r="E172"/>
  <c r="C233"/>
  <c r="E233" s="1"/>
  <c r="F69" s="1"/>
  <c r="C205"/>
  <c r="C42"/>
  <c r="C209"/>
  <c r="E209" s="1"/>
  <c r="F45" s="1"/>
  <c r="C59"/>
  <c r="B119"/>
  <c r="B247"/>
  <c r="E235"/>
  <c r="F71" s="1"/>
  <c r="E187"/>
  <c r="F23" s="1"/>
  <c r="E174"/>
  <c r="F10" s="1"/>
  <c r="E28"/>
  <c r="E29"/>
  <c r="E30"/>
  <c r="E31"/>
  <c r="E36"/>
  <c r="E41"/>
  <c r="E42" s="1"/>
  <c r="E45"/>
  <c r="E53"/>
  <c r="D217"/>
  <c r="E217" s="1"/>
  <c r="F53" s="1"/>
  <c r="C234"/>
  <c r="E234" s="1"/>
  <c r="F70" s="1"/>
  <c r="E70"/>
  <c r="C236"/>
  <c r="E72"/>
  <c r="B83"/>
  <c r="C119"/>
  <c r="B208"/>
  <c r="B140"/>
  <c r="E125"/>
  <c r="E211"/>
  <c r="F47" s="1"/>
  <c r="C228"/>
  <c r="E228" s="1"/>
  <c r="F64" s="1"/>
  <c r="E145"/>
  <c r="C164"/>
  <c r="C165" s="1"/>
  <c r="E194"/>
  <c r="F30" s="1"/>
  <c r="C221"/>
  <c r="E221" s="1"/>
  <c r="F57" s="1"/>
  <c r="D247"/>
  <c r="E229"/>
  <c r="F65" s="1"/>
  <c r="E236"/>
  <c r="F72" s="1"/>
  <c r="E74"/>
  <c r="E81"/>
  <c r="E182"/>
  <c r="F18" s="1"/>
  <c r="B216"/>
  <c r="E216" s="1"/>
  <c r="F52" s="1"/>
  <c r="C239"/>
  <c r="E239" s="1"/>
  <c r="F75" s="1"/>
  <c r="C83"/>
  <c r="C84" s="1"/>
  <c r="C246"/>
  <c r="E246" s="1"/>
  <c r="F82" s="1"/>
  <c r="E56"/>
  <c r="E68"/>
  <c r="D83"/>
  <c r="D84" s="1"/>
  <c r="E90"/>
  <c r="E92"/>
  <c r="E119" s="1"/>
  <c r="E94"/>
  <c r="E139"/>
  <c r="C223" l="1"/>
  <c r="E173"/>
  <c r="F9" s="1"/>
  <c r="D202"/>
  <c r="E208"/>
  <c r="B223"/>
  <c r="B248" s="1"/>
  <c r="F8"/>
  <c r="E164"/>
  <c r="E165" s="1"/>
  <c r="B165"/>
  <c r="E59"/>
  <c r="D223"/>
  <c r="D248"/>
  <c r="E140"/>
  <c r="B84"/>
  <c r="E83"/>
  <c r="E84" s="1"/>
  <c r="C247"/>
  <c r="C248" s="1"/>
  <c r="E205"/>
  <c r="C206"/>
  <c r="E247" l="1"/>
  <c r="E202"/>
  <c r="F38" s="1"/>
  <c r="E223"/>
  <c r="F59" s="1"/>
  <c r="F44"/>
  <c r="E206"/>
  <c r="F42" s="1"/>
  <c r="F41"/>
  <c r="E248" l="1"/>
  <c r="F84" s="1"/>
  <c r="F83"/>
  <c r="E156" i="1" l="1"/>
  <c r="C156"/>
  <c r="E155"/>
  <c r="E154"/>
  <c r="E153"/>
  <c r="E152"/>
  <c r="D152"/>
  <c r="C152"/>
  <c r="E151"/>
  <c r="D151"/>
  <c r="C151"/>
  <c r="E150"/>
  <c r="C150"/>
  <c r="E149"/>
  <c r="E148"/>
  <c r="D148"/>
  <c r="C148"/>
  <c r="E147"/>
  <c r="C147"/>
  <c r="E146"/>
  <c r="D146"/>
  <c r="E145"/>
  <c r="E144"/>
  <c r="D144"/>
  <c r="C144"/>
  <c r="E143"/>
  <c r="D143"/>
  <c r="C143"/>
  <c r="E142"/>
  <c r="C142"/>
  <c r="F141"/>
  <c r="E141"/>
  <c r="C141"/>
  <c r="E140"/>
  <c r="D140"/>
  <c r="C140"/>
  <c r="E139"/>
  <c r="E138"/>
  <c r="E137"/>
  <c r="E136"/>
  <c r="E135"/>
  <c r="C135"/>
  <c r="E134"/>
  <c r="C134"/>
  <c r="E132"/>
  <c r="E131"/>
  <c r="E130"/>
  <c r="E129"/>
  <c r="E128"/>
  <c r="E127"/>
  <c r="E126"/>
  <c r="E125"/>
  <c r="E124"/>
  <c r="E123"/>
  <c r="F123" s="1"/>
  <c r="D123"/>
  <c r="C123"/>
  <c r="E122"/>
  <c r="F122" s="1"/>
  <c r="D122"/>
  <c r="C122"/>
  <c r="E117"/>
  <c r="E116"/>
  <c r="E115"/>
  <c r="E113"/>
  <c r="E118" s="1"/>
  <c r="C113"/>
  <c r="E106"/>
  <c r="D105"/>
  <c r="F105" s="1"/>
  <c r="F156" s="1"/>
  <c r="F104"/>
  <c r="D104"/>
  <c r="D155" s="1"/>
  <c r="D103"/>
  <c r="D154" s="1"/>
  <c r="C103"/>
  <c r="C154" s="1"/>
  <c r="E102"/>
  <c r="D102"/>
  <c r="D153" s="1"/>
  <c r="C102"/>
  <c r="C153" s="1"/>
  <c r="F101"/>
  <c r="F100"/>
  <c r="F99"/>
  <c r="F150" s="1"/>
  <c r="D99"/>
  <c r="D150" s="1"/>
  <c r="D98"/>
  <c r="D149" s="1"/>
  <c r="C98"/>
  <c r="C149" s="1"/>
  <c r="F97"/>
  <c r="D96"/>
  <c r="D147" s="1"/>
  <c r="F95"/>
  <c r="F146" s="1"/>
  <c r="C95"/>
  <c r="C146" s="1"/>
  <c r="D94"/>
  <c r="D145" s="1"/>
  <c r="C94"/>
  <c r="C145" s="1"/>
  <c r="F93"/>
  <c r="F92"/>
  <c r="D91"/>
  <c r="D142" s="1"/>
  <c r="F90"/>
  <c r="D90"/>
  <c r="D141" s="1"/>
  <c r="F89"/>
  <c r="F88"/>
  <c r="D88"/>
  <c r="D139" s="1"/>
  <c r="C88"/>
  <c r="C139" s="1"/>
  <c r="D87"/>
  <c r="D138" s="1"/>
  <c r="C87"/>
  <c r="C138" s="1"/>
  <c r="E86"/>
  <c r="D86"/>
  <c r="D137" s="1"/>
  <c r="C86"/>
  <c r="C137" s="1"/>
  <c r="F137" s="1"/>
  <c r="D85"/>
  <c r="D136" s="1"/>
  <c r="C85"/>
  <c r="C136" s="1"/>
  <c r="F84"/>
  <c r="D84"/>
  <c r="D135" s="1"/>
  <c r="F135" s="1"/>
  <c r="D83"/>
  <c r="F83" s="1"/>
  <c r="D82"/>
  <c r="C82"/>
  <c r="F82" s="1"/>
  <c r="F81"/>
  <c r="D81"/>
  <c r="E80"/>
  <c r="D80"/>
  <c r="C80"/>
  <c r="F80" s="1"/>
  <c r="D79"/>
  <c r="D130" s="1"/>
  <c r="C79"/>
  <c r="C130" s="1"/>
  <c r="D78"/>
  <c r="C78"/>
  <c r="F78" s="1"/>
  <c r="F77"/>
  <c r="C77"/>
  <c r="D76"/>
  <c r="C76"/>
  <c r="F76" s="1"/>
  <c r="F75"/>
  <c r="D74"/>
  <c r="D106" s="1"/>
  <c r="C74"/>
  <c r="F74" s="1"/>
  <c r="F73"/>
  <c r="C73"/>
  <c r="C124" s="1"/>
  <c r="F72"/>
  <c r="F71"/>
  <c r="E66"/>
  <c r="D66"/>
  <c r="C66"/>
  <c r="F66" s="1"/>
  <c r="E65"/>
  <c r="E67" s="1"/>
  <c r="D65"/>
  <c r="C65"/>
  <c r="F65" s="1"/>
  <c r="F64"/>
  <c r="D64"/>
  <c r="D62"/>
  <c r="D113" s="1"/>
  <c r="F53"/>
  <c r="D53"/>
  <c r="D156" s="1"/>
  <c r="F51"/>
  <c r="F50"/>
  <c r="F49"/>
  <c r="F152" s="1"/>
  <c r="F48"/>
  <c r="F151" s="1"/>
  <c r="F47"/>
  <c r="F46"/>
  <c r="F45"/>
  <c r="F148" s="1"/>
  <c r="F44"/>
  <c r="F43"/>
  <c r="F42"/>
  <c r="F41"/>
  <c r="F144" s="1"/>
  <c r="F40"/>
  <c r="F143" s="1"/>
  <c r="F39"/>
  <c r="F38"/>
  <c r="F37"/>
  <c r="F140" s="1"/>
  <c r="F36"/>
  <c r="F139" s="1"/>
  <c r="F35"/>
  <c r="F34"/>
  <c r="F33"/>
  <c r="F32"/>
  <c r="F31"/>
  <c r="D31"/>
  <c r="D134" s="1"/>
  <c r="F134" s="1"/>
  <c r="E30"/>
  <c r="F30" s="1"/>
  <c r="D30"/>
  <c r="D133" s="1"/>
  <c r="C30"/>
  <c r="C133" s="1"/>
  <c r="D29"/>
  <c r="D132" s="1"/>
  <c r="C29"/>
  <c r="C132" s="1"/>
  <c r="D28"/>
  <c r="D131" s="1"/>
  <c r="C28"/>
  <c r="C131" s="1"/>
  <c r="F27"/>
  <c r="E26"/>
  <c r="E54" s="1"/>
  <c r="E56" s="1"/>
  <c r="D26"/>
  <c r="D129" s="1"/>
  <c r="C26"/>
  <c r="C129" s="1"/>
  <c r="D25"/>
  <c r="D128" s="1"/>
  <c r="C25"/>
  <c r="C52" s="1"/>
  <c r="D24"/>
  <c r="D127" s="1"/>
  <c r="C24"/>
  <c r="F24" s="1"/>
  <c r="F23"/>
  <c r="D23"/>
  <c r="D126" s="1"/>
  <c r="C23"/>
  <c r="C126" s="1"/>
  <c r="D22"/>
  <c r="D125" s="1"/>
  <c r="C22"/>
  <c r="C125" s="1"/>
  <c r="F125" s="1"/>
  <c r="D21"/>
  <c r="D124" s="1"/>
  <c r="F20"/>
  <c r="F19"/>
  <c r="E16"/>
  <c r="D16"/>
  <c r="D15"/>
  <c r="D117" s="1"/>
  <c r="F14"/>
  <c r="D14"/>
  <c r="D116" s="1"/>
  <c r="D13"/>
  <c r="D115" s="1"/>
  <c r="C13"/>
  <c r="C16" s="1"/>
  <c r="F12"/>
  <c r="F11"/>
  <c r="C155" l="1"/>
  <c r="F52"/>
  <c r="F155" s="1"/>
  <c r="F132"/>
  <c r="F124"/>
  <c r="F16"/>
  <c r="D118"/>
  <c r="F116"/>
  <c r="F131"/>
  <c r="D157"/>
  <c r="D159" s="1"/>
  <c r="F126"/>
  <c r="F136"/>
  <c r="E108"/>
  <c r="C54"/>
  <c r="C56" s="1"/>
  <c r="C67"/>
  <c r="E133"/>
  <c r="F133" s="1"/>
  <c r="E157"/>
  <c r="E159" s="1"/>
  <c r="D67"/>
  <c r="D108" s="1"/>
  <c r="F87"/>
  <c r="F138" s="1"/>
  <c r="F91"/>
  <c r="F142" s="1"/>
  <c r="F13"/>
  <c r="F15"/>
  <c r="F117" s="1"/>
  <c r="F21"/>
  <c r="F54" s="1"/>
  <c r="F56" s="1"/>
  <c r="F25"/>
  <c r="F26"/>
  <c r="F129" s="1"/>
  <c r="F28"/>
  <c r="F79"/>
  <c r="F130" s="1"/>
  <c r="F85"/>
  <c r="F86"/>
  <c r="F94"/>
  <c r="F145" s="1"/>
  <c r="F96"/>
  <c r="F147" s="1"/>
  <c r="F98"/>
  <c r="F149" s="1"/>
  <c r="F102"/>
  <c r="F153" s="1"/>
  <c r="C106"/>
  <c r="C115"/>
  <c r="F115" s="1"/>
  <c r="C116"/>
  <c r="C117"/>
  <c r="C127"/>
  <c r="F127" s="1"/>
  <c r="F157" s="1"/>
  <c r="C128"/>
  <c r="F128" s="1"/>
  <c r="F22"/>
  <c r="F29"/>
  <c r="D54"/>
  <c r="D56" s="1"/>
  <c r="F62"/>
  <c r="F103"/>
  <c r="F154" s="1"/>
  <c r="F159" l="1"/>
  <c r="C157"/>
  <c r="C108"/>
  <c r="F106"/>
  <c r="F108" s="1"/>
  <c r="C118"/>
  <c r="F67"/>
  <c r="F113"/>
  <c r="F118" s="1"/>
  <c r="C159" l="1"/>
</calcChain>
</file>

<file path=xl/sharedStrings.xml><?xml version="1.0" encoding="utf-8"?>
<sst xmlns="http://schemas.openxmlformats.org/spreadsheetml/2006/main" count="419" uniqueCount="160">
  <si>
    <t>Volume II- IOB</t>
  </si>
  <si>
    <t>Benguet State University</t>
  </si>
  <si>
    <t>La Trinidad, Benguet</t>
  </si>
  <si>
    <t>Statement of Allotment, Obligation &amp; Balances as of  December 31, 2009</t>
  </si>
  <si>
    <t>ALLOTMENT</t>
  </si>
  <si>
    <t>A. Trust Fund</t>
  </si>
  <si>
    <t>Name of Project</t>
  </si>
  <si>
    <t>PS</t>
  </si>
  <si>
    <t>MOOE</t>
  </si>
  <si>
    <t>CO</t>
  </si>
  <si>
    <t>TOTAL</t>
  </si>
  <si>
    <t xml:space="preserve">      </t>
  </si>
  <si>
    <t>1. Enhancement of Community-Based Participating Through</t>
  </si>
  <si>
    <t xml:space="preserve">    Commercialization of Agricultural Products in the Cordilleras</t>
  </si>
  <si>
    <t>2. DA-BAR Promotion of Seed System Technologies for Quality</t>
  </si>
  <si>
    <t xml:space="preserve">    Planting Materials of Purple Yam</t>
  </si>
  <si>
    <t>3. I-school (Internet for Public School)</t>
  </si>
  <si>
    <t>4. CARASUC RDE Programs</t>
  </si>
  <si>
    <t>sub-total</t>
  </si>
  <si>
    <t>B. Special Projects</t>
  </si>
  <si>
    <t>1. College of Agriculture Production Project</t>
  </si>
  <si>
    <t>2. CHET-SATP</t>
  </si>
  <si>
    <t>3. CHET-TOGA</t>
  </si>
  <si>
    <t>4. CHET Canteen</t>
  </si>
  <si>
    <t>5. CTE - LET - Review</t>
  </si>
  <si>
    <t>6. ECDC</t>
  </si>
  <si>
    <t>7. SUMMER BRIDGE</t>
  </si>
  <si>
    <t>8. Technology and Livelihood Education (TLE)</t>
  </si>
  <si>
    <t>9. College of Nursing - Enhancement Program</t>
  </si>
  <si>
    <t>10. Open University</t>
  </si>
  <si>
    <t>11. Testing Fund (OSA)</t>
  </si>
  <si>
    <t>12. Korean Fund</t>
  </si>
  <si>
    <t>13.Research &amp; Extension Services Projects</t>
  </si>
  <si>
    <t>14. Vegetable Incubation</t>
  </si>
  <si>
    <t>15. Philrice</t>
  </si>
  <si>
    <t>16. Binnadang</t>
  </si>
  <si>
    <t xml:space="preserve">17. PCARRD  </t>
  </si>
  <si>
    <t>18. Benguet Vegetable Processing Center</t>
  </si>
  <si>
    <t>19. Multi-crop Production</t>
  </si>
  <si>
    <t>20. Organic Farming</t>
  </si>
  <si>
    <t>21. PCIERD-DOST</t>
  </si>
  <si>
    <t>22. NPRCRTC</t>
  </si>
  <si>
    <t>23. Biodiversity</t>
  </si>
  <si>
    <t>24. Chickpea</t>
  </si>
  <si>
    <t>25. PARRFI</t>
  </si>
  <si>
    <t>26. TESOL (AILA)</t>
  </si>
  <si>
    <t>27.CHED-HEDF</t>
  </si>
  <si>
    <t>28. ANEC</t>
  </si>
  <si>
    <t>29. Bidani</t>
  </si>
  <si>
    <t>30. Chrysanthemum</t>
  </si>
  <si>
    <t>31. Garden Pea</t>
  </si>
  <si>
    <t>32. HARRDEC</t>
  </si>
  <si>
    <t>33. Social Capital</t>
  </si>
  <si>
    <t>34. CHED-Award</t>
  </si>
  <si>
    <t>35. CHED-Clifton Llanes</t>
  </si>
  <si>
    <t>Total</t>
  </si>
  <si>
    <t>OBLIGATIONS as of December 31, 2009</t>
  </si>
  <si>
    <t>4. CHET- CANTEEN</t>
  </si>
  <si>
    <t>17. PCARRD</t>
  </si>
  <si>
    <t>BALANCES as of December 31, 2009</t>
  </si>
  <si>
    <t>/carla</t>
  </si>
  <si>
    <t>Certified Correct:                        Reviewed:</t>
  </si>
  <si>
    <t>Verified:</t>
  </si>
  <si>
    <t xml:space="preserve">                 Concurred in:</t>
  </si>
  <si>
    <t xml:space="preserve">       LUDIVINA O. ALAGAO             MARY JOY S. RAPUSO</t>
  </si>
  <si>
    <t xml:space="preserve">   DARLYN D. TAGARINO</t>
  </si>
  <si>
    <t>ROGELIO D. COLTING</t>
  </si>
  <si>
    <t>Supervising Administrative Officer    Chief Administrative Officer</t>
  </si>
  <si>
    <t xml:space="preserve">      VP for Finance</t>
  </si>
  <si>
    <t xml:space="preserve">            President</t>
  </si>
  <si>
    <t>FUND 911 and Special Projects</t>
  </si>
  <si>
    <t>For the month ended December 2013</t>
  </si>
  <si>
    <t>NAME OF PROJECT</t>
  </si>
  <si>
    <t>A. SPECIAL PROJECTS</t>
  </si>
  <si>
    <t>1.  ANEC</t>
  </si>
  <si>
    <t>-</t>
  </si>
  <si>
    <t xml:space="preserve">2. ATBI (Agri-Based Technology Business Incubator) </t>
  </si>
  <si>
    <t xml:space="preserve">3.  Bidani </t>
  </si>
  <si>
    <t>4.  Binnadang</t>
  </si>
  <si>
    <t>5.  CHED-HEDF (COD/COE) College of Agriculture</t>
  </si>
  <si>
    <t>6.  CHED - Safe Loan</t>
  </si>
  <si>
    <t>7.  CHED Safe Scholarship</t>
  </si>
  <si>
    <t>8.  Chrysanthemum</t>
  </si>
  <si>
    <t>9.  Cordillera Bamboo Development Program</t>
  </si>
  <si>
    <t>10. DA-BAR Pilot Testing and Seed Multiplication of Snap Beans and Garden Pea</t>
  </si>
  <si>
    <t>11.  Garden Pea</t>
  </si>
  <si>
    <t>12. HARRDEC</t>
  </si>
  <si>
    <t>13. Higher Education Regional Research Center (HERRC)</t>
  </si>
  <si>
    <t>14. Non-Formal Education (NFE)</t>
  </si>
  <si>
    <t>15. PCARRD- Organic Vegetable (c/o Dr. Tad-awan)</t>
  </si>
  <si>
    <t>16. PCARRD - Organic Vegetable (c/o Dr. Villanueva)</t>
  </si>
  <si>
    <t>17. PCARRD- FITS for Rural Development (c/o Dr. Laurean)</t>
  </si>
  <si>
    <t>18. PCARRD - Arabica Coffee (c/o M. Marquez/ E. Dayap)</t>
  </si>
  <si>
    <t>19. PCARRD - Arabica Coffee (c/o A. Basalong)</t>
  </si>
  <si>
    <t>20. PCARRD - Arabica Coffee (c/o B. Tad-awan)</t>
  </si>
  <si>
    <t>21. PCARRD - Arabica Coffee (c/o V. Macanes)</t>
  </si>
  <si>
    <t>22. PCARRD - Arabica Coffee (c/o K. Mangili)</t>
  </si>
  <si>
    <t>23. PCARRD - Arabica Coffee (c/o S. Maddul)</t>
  </si>
  <si>
    <t>24. PCARRD - ETAG</t>
  </si>
  <si>
    <t>25. PCIERD - DOST Pigeon Pea</t>
  </si>
  <si>
    <t>26. Philrice</t>
  </si>
  <si>
    <t>27. PIUC</t>
  </si>
  <si>
    <t>28. Potato Network</t>
  </si>
  <si>
    <t>29. Seed Technology</t>
  </si>
  <si>
    <t>30. Tanzania</t>
  </si>
  <si>
    <t xml:space="preserve">   Total for Special Projects</t>
  </si>
  <si>
    <t>B. 911 Projects</t>
  </si>
  <si>
    <t>B.1 Scholarship Funds</t>
  </si>
  <si>
    <r>
      <t xml:space="preserve">   </t>
    </r>
    <r>
      <rPr>
        <b/>
        <sz val="10"/>
        <rFont val="Arial"/>
        <family val="2"/>
      </rPr>
      <t>Subtotal</t>
    </r>
  </si>
  <si>
    <t>B.2 Other BSU-Based Income Generating Project</t>
  </si>
  <si>
    <t xml:space="preserve">   2.1  Benguet Vegetable Processing Center</t>
  </si>
  <si>
    <t xml:space="preserve">   2.2  BSU Growers Compost</t>
  </si>
  <si>
    <t xml:space="preserve">   2.3  Building Fund</t>
  </si>
  <si>
    <t xml:space="preserve">   2.4  Extension (c/o J. Solimen)</t>
  </si>
  <si>
    <t xml:space="preserve">   2.5  Horticulture </t>
  </si>
  <si>
    <t xml:space="preserve">   2.6  IHFSA (c/o Valentino Macanes)</t>
  </si>
  <si>
    <t xml:space="preserve">   2.7  Multivegetable Project</t>
  </si>
  <si>
    <t xml:space="preserve">   2.8  Institute of Plant Breeding (BSU-IPB c/o L. Tandang)</t>
  </si>
  <si>
    <t xml:space="preserve">   2.9  Mushroom Project</t>
  </si>
  <si>
    <t xml:space="preserve">   2.10  NPRCRTC</t>
  </si>
  <si>
    <t xml:space="preserve">   2.11  Organic Farming (COARDC)</t>
  </si>
  <si>
    <t xml:space="preserve">   2.12 Organic Farming (COADC)</t>
  </si>
  <si>
    <t xml:space="preserve">   2.13  Semi-Temperate Vegetable Research Development Center</t>
  </si>
  <si>
    <t xml:space="preserve">   2.14  Trust Fund for Various Benefits</t>
  </si>
  <si>
    <t xml:space="preserve">   2.15  Buguias Fund</t>
  </si>
  <si>
    <t xml:space="preserve">   Subtotal</t>
  </si>
  <si>
    <t>B.3 Outside Funded Research Projects</t>
  </si>
  <si>
    <t xml:space="preserve">   3.1 Angara Fund</t>
  </si>
  <si>
    <t xml:space="preserve">   3.2 CHED - Coffee Based Farming System for Poverty Alleviation (c/o J Solimen)</t>
  </si>
  <si>
    <t xml:space="preserve">   3.3 CHED - Prize (CHED AWARD)  (c/o L. Villanueva)</t>
  </si>
  <si>
    <t xml:space="preserve">   3.4 CHED - ZRC Trailmapping of Agribusiness Project (c/o J. Sim)</t>
  </si>
  <si>
    <t xml:space="preserve">   3.5  Chickpea (ICRISAT) - (c/o F. Bawang)</t>
  </si>
  <si>
    <t xml:space="preserve">   3.6  CRASC (Cordillera Regional Apiculture Satellite Center)</t>
  </si>
  <si>
    <t xml:space="preserve">   3.7  DA-BAR CASSUP</t>
  </si>
  <si>
    <t xml:space="preserve">   3.8  DA-BAR Commercialization (c/o H. Quindara)</t>
  </si>
  <si>
    <t xml:space="preserve">   3.9  DA-BAR Tech Com (c/o J. Perez)</t>
  </si>
  <si>
    <t xml:space="preserve">   3.10  DA-BAR Chickpea Techno-Demo (c/o I. Gonzales)</t>
  </si>
  <si>
    <t xml:space="preserve">   3.11  DA-BAR Dev't of Agroforestry Model (For Oak Based Forest) w/ Shiitake</t>
  </si>
  <si>
    <t xml:space="preserve">   3.12  DA-CAR Chickpea (c/o I. Gonzales)</t>
  </si>
  <si>
    <t xml:space="preserve">   3.13  Documentation of Organic Vegetable in CAR (c/o J. Sim)</t>
  </si>
  <si>
    <t xml:space="preserve">   3.14  Garbanzos- Ines Gonzales</t>
  </si>
  <si>
    <t xml:space="preserve">   3.15  International Rice Research Institute (IRRI c/o L. Tandang)</t>
  </si>
  <si>
    <t xml:space="preserve">   3.16  Itogon FITS (c/o D. Simongo)</t>
  </si>
  <si>
    <t xml:space="preserve">   3.17  I-school</t>
  </si>
  <si>
    <t xml:space="preserve">   3.18  NCC-ICT Fund</t>
  </si>
  <si>
    <t xml:space="preserve">   3.19  PARRFI Professional Chair</t>
  </si>
  <si>
    <t xml:space="preserve">   3.20 PCARRD 2.3 (L. Villanueva)</t>
  </si>
  <si>
    <t xml:space="preserve">   3.21 Pre-Amalgamation Initiatives of CAR SUCs</t>
  </si>
  <si>
    <t xml:space="preserve">   3.22  VISCA (Sweetpotato NCT Project)</t>
  </si>
  <si>
    <t xml:space="preserve">    Subtotal</t>
  </si>
  <si>
    <t>GRAND TOTAL</t>
  </si>
  <si>
    <t>OBLIGATION</t>
  </si>
  <si>
    <t xml:space="preserve">   2.11  Organic Farming (NOARDC)</t>
  </si>
  <si>
    <t>BALANCE</t>
  </si>
  <si>
    <t>Certified Correct:                                  Recommending Approval:</t>
  </si>
  <si>
    <t xml:space="preserve">                 Approved by:</t>
  </si>
  <si>
    <t xml:space="preserve">    ESTRELLITA M. DACLAN                   MARY JOY S. RAPUSO</t>
  </si>
  <si>
    <t>BEN D. LADILAD</t>
  </si>
  <si>
    <t>Supervising Administrative Officer             Chief Administrative Officer</t>
  </si>
  <si>
    <t xml:space="preserve">    President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</si>
</sst>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Georgia"/>
      <family val="1"/>
    </font>
    <font>
      <sz val="10"/>
      <name val="Georgia"/>
      <family val="1"/>
    </font>
    <font>
      <b/>
      <sz val="12"/>
      <name val="Georgia"/>
      <family val="1"/>
    </font>
    <font>
      <b/>
      <sz val="10"/>
      <name val="Georgia"/>
      <family val="1"/>
    </font>
    <font>
      <b/>
      <sz val="8"/>
      <color theme="6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5" fillId="0" borderId="2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/>
    <xf numFmtId="0" fontId="4" fillId="0" borderId="8" xfId="0" quotePrefix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43" fontId="1" fillId="0" borderId="13" xfId="1" applyBorder="1"/>
    <xf numFmtId="43" fontId="1" fillId="0" borderId="14" xfId="1" applyBorder="1"/>
    <xf numFmtId="43" fontId="4" fillId="0" borderId="13" xfId="1" applyFont="1" applyBorder="1"/>
    <xf numFmtId="43" fontId="1" fillId="0" borderId="15" xfId="1" applyBorder="1"/>
    <xf numFmtId="43" fontId="1" fillId="0" borderId="16" xfId="1" applyBorder="1"/>
    <xf numFmtId="43" fontId="1" fillId="0" borderId="17" xfId="1" applyBorder="1"/>
    <xf numFmtId="43" fontId="1" fillId="0" borderId="18" xfId="1" applyBorder="1"/>
    <xf numFmtId="0" fontId="5" fillId="0" borderId="11" xfId="0" applyFont="1" applyBorder="1"/>
    <xf numFmtId="0" fontId="5" fillId="0" borderId="13" xfId="0" applyFont="1" applyBorder="1" applyAlignment="1">
      <alignment horizontal="center"/>
    </xf>
    <xf numFmtId="43" fontId="1" fillId="0" borderId="19" xfId="1" applyBorder="1"/>
    <xf numFmtId="0" fontId="4" fillId="0" borderId="12" xfId="0" quotePrefix="1" applyFont="1" applyBorder="1"/>
    <xf numFmtId="0" fontId="4" fillId="0" borderId="20" xfId="0" applyFont="1" applyBorder="1"/>
    <xf numFmtId="0" fontId="4" fillId="0" borderId="13" xfId="0" applyFont="1" applyBorder="1"/>
    <xf numFmtId="0" fontId="4" fillId="0" borderId="21" xfId="0" applyFont="1" applyBorder="1"/>
    <xf numFmtId="43" fontId="1" fillId="0" borderId="22" xfId="1" applyBorder="1"/>
    <xf numFmtId="0" fontId="4" fillId="0" borderId="8" xfId="0" applyFont="1" applyBorder="1"/>
    <xf numFmtId="43" fontId="1" fillId="0" borderId="23" xfId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43" fontId="5" fillId="0" borderId="23" xfId="0" applyNumberFormat="1" applyFont="1" applyBorder="1"/>
    <xf numFmtId="43" fontId="5" fillId="0" borderId="27" xfId="0" applyNumberFormat="1" applyFont="1" applyBorder="1"/>
    <xf numFmtId="0" fontId="6" fillId="0" borderId="0" xfId="0" applyFont="1" applyBorder="1"/>
    <xf numFmtId="43" fontId="1" fillId="0" borderId="0" xfId="1" applyBorder="1"/>
    <xf numFmtId="43" fontId="5" fillId="0" borderId="0" xfId="1" applyFont="1" applyBorder="1"/>
    <xf numFmtId="0" fontId="4" fillId="0" borderId="28" xfId="0" applyFont="1" applyBorder="1"/>
    <xf numFmtId="0" fontId="4" fillId="0" borderId="29" xfId="0" applyFont="1" applyBorder="1"/>
    <xf numFmtId="43" fontId="1" fillId="0" borderId="30" xfId="1" applyBorder="1"/>
    <xf numFmtId="43" fontId="1" fillId="0" borderId="31" xfId="1" applyBorder="1"/>
    <xf numFmtId="0" fontId="4" fillId="0" borderId="32" xfId="0" applyFont="1" applyBorder="1"/>
    <xf numFmtId="0" fontId="4" fillId="0" borderId="33" xfId="0" applyFont="1" applyBorder="1"/>
    <xf numFmtId="43" fontId="1" fillId="0" borderId="9" xfId="1" applyBorder="1"/>
    <xf numFmtId="43" fontId="1" fillId="0" borderId="10" xfId="1" applyBorder="1"/>
    <xf numFmtId="0" fontId="5" fillId="0" borderId="12" xfId="0" applyFont="1" applyBorder="1"/>
    <xf numFmtId="0" fontId="5" fillId="0" borderId="14" xfId="0" applyFont="1" applyBorder="1" applyAlignment="1">
      <alignment horizontal="center"/>
    </xf>
    <xf numFmtId="0" fontId="4" fillId="0" borderId="13" xfId="0" quotePrefix="1" applyFont="1" applyBorder="1"/>
    <xf numFmtId="43" fontId="1" fillId="0" borderId="34" xfId="1" applyBorder="1"/>
    <xf numFmtId="43" fontId="4" fillId="0" borderId="34" xfId="1" applyFont="1" applyBorder="1"/>
    <xf numFmtId="43" fontId="4" fillId="0" borderId="22" xfId="1" applyFont="1" applyBorder="1"/>
    <xf numFmtId="43" fontId="1" fillId="0" borderId="35" xfId="1" applyBorder="1"/>
    <xf numFmtId="0" fontId="4" fillId="0" borderId="22" xfId="0" applyFont="1" applyBorder="1"/>
    <xf numFmtId="43" fontId="5" fillId="0" borderId="17" xfId="0" applyNumberFormat="1" applyFont="1" applyBorder="1"/>
    <xf numFmtId="0" fontId="4" fillId="0" borderId="17" xfId="0" applyFont="1" applyBorder="1"/>
    <xf numFmtId="43" fontId="5" fillId="0" borderId="18" xfId="0" applyNumberFormat="1" applyFont="1" applyBorder="1"/>
    <xf numFmtId="43" fontId="5" fillId="0" borderId="0" xfId="0" applyNumberFormat="1" applyFont="1" applyBorder="1"/>
    <xf numFmtId="0" fontId="4" fillId="0" borderId="36" xfId="0" applyFont="1" applyBorder="1"/>
    <xf numFmtId="0" fontId="4" fillId="0" borderId="30" xfId="0" applyFont="1" applyBorder="1"/>
    <xf numFmtId="43" fontId="4" fillId="0" borderId="14" xfId="1" applyFont="1" applyBorder="1"/>
    <xf numFmtId="0" fontId="7" fillId="0" borderId="12" xfId="0" applyFont="1" applyBorder="1"/>
    <xf numFmtId="43" fontId="7" fillId="0" borderId="13" xfId="1" applyFont="1" applyBorder="1"/>
    <xf numFmtId="0" fontId="7" fillId="0" borderId="0" xfId="0" applyFont="1" applyBorder="1"/>
    <xf numFmtId="0" fontId="7" fillId="0" borderId="0" xfId="0" applyFont="1"/>
    <xf numFmtId="0" fontId="4" fillId="0" borderId="23" xfId="0" applyFont="1" applyBorder="1"/>
    <xf numFmtId="43" fontId="1" fillId="0" borderId="27" xfId="1" applyBorder="1"/>
    <xf numFmtId="0" fontId="6" fillId="0" borderId="37" xfId="0" applyFont="1" applyFill="1" applyBorder="1"/>
    <xf numFmtId="0" fontId="4" fillId="0" borderId="0" xfId="0" applyFont="1" applyFill="1" applyBorder="1"/>
    <xf numFmtId="0" fontId="4" fillId="0" borderId="38" xfId="0" applyFont="1" applyBorder="1"/>
    <xf numFmtId="39" fontId="0" fillId="0" borderId="0" xfId="0" applyNumberForma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38" xfId="0" applyFont="1" applyBorder="1" applyAlignment="1">
      <alignment horizontal="center"/>
    </xf>
    <xf numFmtId="39" fontId="2" fillId="0" borderId="17" xfId="0" applyNumberFormat="1" applyFont="1" applyBorder="1" applyAlignment="1">
      <alignment horizontal="center"/>
    </xf>
    <xf numFmtId="39" fontId="2" fillId="0" borderId="18" xfId="0" applyNumberFormat="1" applyFont="1" applyBorder="1" applyAlignment="1">
      <alignment horizontal="center"/>
    </xf>
    <xf numFmtId="39" fontId="0" fillId="0" borderId="9" xfId="0" applyNumberFormat="1" applyBorder="1" applyAlignment="1">
      <alignment horizontal="center"/>
    </xf>
    <xf numFmtId="39" fontId="2" fillId="0" borderId="10" xfId="0" applyNumberFormat="1" applyFont="1" applyBorder="1" applyAlignment="1">
      <alignment horizontal="center"/>
    </xf>
    <xf numFmtId="39" fontId="0" fillId="0" borderId="0" xfId="0" applyNumberFormat="1"/>
    <xf numFmtId="39" fontId="0" fillId="0" borderId="13" xfId="0" applyNumberFormat="1" applyBorder="1" applyAlignment="1">
      <alignment horizontal="center"/>
    </xf>
    <xf numFmtId="39" fontId="2" fillId="0" borderId="14" xfId="0" applyNumberFormat="1" applyFont="1" applyBorder="1" applyAlignment="1">
      <alignment horizontal="center"/>
    </xf>
    <xf numFmtId="0" fontId="4" fillId="3" borderId="12" xfId="0" applyFont="1" applyFill="1" applyBorder="1"/>
    <xf numFmtId="39" fontId="0" fillId="0" borderId="34" xfId="0" applyNumberFormat="1" applyBorder="1" applyAlignment="1">
      <alignment horizontal="center"/>
    </xf>
    <xf numFmtId="39" fontId="2" fillId="0" borderId="19" xfId="0" applyNumberFormat="1" applyFont="1" applyBorder="1" applyAlignment="1">
      <alignment horizontal="center"/>
    </xf>
    <xf numFmtId="0" fontId="5" fillId="0" borderId="38" xfId="0" applyFont="1" applyBorder="1"/>
    <xf numFmtId="0" fontId="5" fillId="4" borderId="40" xfId="0" applyFont="1" applyFill="1" applyBorder="1" applyAlignment="1"/>
    <xf numFmtId="39" fontId="0" fillId="0" borderId="38" xfId="0" applyNumberFormat="1" applyBorder="1" applyAlignment="1">
      <alignment horizontal="center"/>
    </xf>
    <xf numFmtId="39" fontId="0" fillId="0" borderId="17" xfId="0" applyNumberFormat="1" applyBorder="1" applyAlignment="1">
      <alignment horizontal="center"/>
    </xf>
    <xf numFmtId="39" fontId="0" fillId="0" borderId="18" xfId="0" applyNumberFormat="1" applyBorder="1" applyAlignment="1">
      <alignment horizontal="center"/>
    </xf>
    <xf numFmtId="39" fontId="0" fillId="0" borderId="41" xfId="0" applyNumberFormat="1" applyBorder="1" applyAlignment="1">
      <alignment horizontal="center"/>
    </xf>
    <xf numFmtId="0" fontId="4" fillId="0" borderId="5" xfId="0" applyFont="1" applyBorder="1" applyAlignment="1"/>
    <xf numFmtId="39" fontId="5" fillId="0" borderId="23" xfId="0" applyNumberFormat="1" applyFont="1" applyBorder="1" applyAlignment="1">
      <alignment horizontal="center"/>
    </xf>
    <xf numFmtId="39" fontId="5" fillId="0" borderId="42" xfId="0" applyNumberFormat="1" applyFont="1" applyBorder="1" applyAlignment="1">
      <alignment horizontal="center"/>
    </xf>
    <xf numFmtId="0" fontId="4" fillId="0" borderId="12" xfId="0" applyFont="1" applyFill="1" applyBorder="1"/>
    <xf numFmtId="39" fontId="4" fillId="0" borderId="11" xfId="0" applyNumberFormat="1" applyFont="1" applyBorder="1"/>
    <xf numFmtId="0" fontId="4" fillId="0" borderId="44" xfId="0" applyFont="1" applyBorder="1"/>
    <xf numFmtId="39" fontId="0" fillId="0" borderId="15" xfId="0" applyNumberFormat="1" applyBorder="1" applyAlignment="1">
      <alignment horizontal="center"/>
    </xf>
    <xf numFmtId="0" fontId="4" fillId="0" borderId="8" xfId="0" applyFont="1" applyFill="1" applyBorder="1" applyAlignment="1"/>
    <xf numFmtId="0" fontId="4" fillId="0" borderId="12" xfId="0" applyFont="1" applyFill="1" applyBorder="1" applyAlignment="1"/>
    <xf numFmtId="39" fontId="2" fillId="0" borderId="35" xfId="0" applyNumberFormat="1" applyFont="1" applyBorder="1" applyAlignment="1">
      <alignment horizontal="center"/>
    </xf>
    <xf numFmtId="0" fontId="2" fillId="0" borderId="45" xfId="0" applyFont="1" applyBorder="1"/>
    <xf numFmtId="39" fontId="2" fillId="0" borderId="46" xfId="0" applyNumberFormat="1" applyFont="1" applyBorder="1" applyAlignment="1">
      <alignment horizontal="center"/>
    </xf>
    <xf numFmtId="39" fontId="2" fillId="0" borderId="16" xfId="0" applyNumberFormat="1" applyFont="1" applyBorder="1" applyAlignment="1">
      <alignment horizontal="center"/>
    </xf>
    <xf numFmtId="0" fontId="2" fillId="0" borderId="38" xfId="0" applyFont="1" applyBorder="1"/>
    <xf numFmtId="0" fontId="12" fillId="0" borderId="39" xfId="0" applyFont="1" applyFill="1" applyBorder="1"/>
    <xf numFmtId="39" fontId="4" fillId="0" borderId="0" xfId="0" applyNumberFormat="1" applyFont="1" applyBorder="1"/>
    <xf numFmtId="0" fontId="12" fillId="0" borderId="0" xfId="0" applyFont="1" applyFill="1" applyBorder="1"/>
    <xf numFmtId="39" fontId="5" fillId="0" borderId="0" xfId="0" applyNumberFormat="1" applyFont="1" applyBorder="1"/>
    <xf numFmtId="39" fontId="2" fillId="0" borderId="0" xfId="0" applyNumberFormat="1" applyFont="1" applyFill="1" applyBorder="1" applyAlignment="1">
      <alignment horizontal="center"/>
    </xf>
    <xf numFmtId="39" fontId="5" fillId="0" borderId="0" xfId="0" applyNumberFormat="1" applyFont="1"/>
    <xf numFmtId="39" fontId="4" fillId="0" borderId="0" xfId="0" applyNumberFormat="1" applyFont="1"/>
    <xf numFmtId="0" fontId="5" fillId="2" borderId="25" xfId="0" applyFont="1" applyFill="1" applyBorder="1" applyAlignment="1">
      <alignment horizontal="left"/>
    </xf>
    <xf numFmtId="0" fontId="0" fillId="0" borderId="22" xfId="0" applyBorder="1" applyAlignment="1"/>
    <xf numFmtId="0" fontId="0" fillId="0" borderId="35" xfId="0" applyBorder="1" applyAlignme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4" borderId="40" xfId="0" applyFont="1" applyFill="1" applyBorder="1" applyAlignment="1"/>
    <xf numFmtId="0" fontId="5" fillId="4" borderId="43" xfId="0" applyFont="1" applyFill="1" applyBorder="1" applyAlignment="1"/>
    <xf numFmtId="0" fontId="5" fillId="4" borderId="41" xfId="0" applyFont="1" applyFill="1" applyBorder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3162300</xdr:colOff>
      <xdr:row>0</xdr:row>
      <xdr:rowOff>0</xdr:rowOff>
    </xdr:from>
    <xdr:to>
      <xdr:col>0</xdr:col>
      <xdr:colOff>3695700</xdr:colOff>
      <xdr:row>2</xdr:row>
      <xdr:rowOff>9525</xdr:rowOff>
    </xdr:to>
    <xdr:pic>
      <xdr:nvPicPr>
        <xdr:cNvPr id="2" name="Picture 5" descr="bs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3162300</xdr:colOff>
      <xdr:row>0</xdr:row>
      <xdr:rowOff>0</xdr:rowOff>
    </xdr:from>
    <xdr:to>
      <xdr:col>0</xdr:col>
      <xdr:colOff>3695700</xdr:colOff>
      <xdr:row>2</xdr:row>
      <xdr:rowOff>9525</xdr:rowOff>
    </xdr:to>
    <xdr:pic>
      <xdr:nvPicPr>
        <xdr:cNvPr id="3" name="Picture 5" descr="bs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3162300</xdr:colOff>
      <xdr:row>0</xdr:row>
      <xdr:rowOff>0</xdr:rowOff>
    </xdr:from>
    <xdr:to>
      <xdr:col>0</xdr:col>
      <xdr:colOff>3695700</xdr:colOff>
      <xdr:row>2</xdr:row>
      <xdr:rowOff>9525</xdr:rowOff>
    </xdr:to>
    <xdr:pic>
      <xdr:nvPicPr>
        <xdr:cNvPr id="4" name="Picture 5" descr="bs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3162300</xdr:colOff>
      <xdr:row>0</xdr:row>
      <xdr:rowOff>0</xdr:rowOff>
    </xdr:from>
    <xdr:to>
      <xdr:col>0</xdr:col>
      <xdr:colOff>3695700</xdr:colOff>
      <xdr:row>2</xdr:row>
      <xdr:rowOff>9525</xdr:rowOff>
    </xdr:to>
    <xdr:pic>
      <xdr:nvPicPr>
        <xdr:cNvPr id="5" name="Picture 5" descr="bs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3162300</xdr:colOff>
      <xdr:row>0</xdr:row>
      <xdr:rowOff>0</xdr:rowOff>
    </xdr:from>
    <xdr:to>
      <xdr:col>0</xdr:col>
      <xdr:colOff>3695700</xdr:colOff>
      <xdr:row>2</xdr:row>
      <xdr:rowOff>9525</xdr:rowOff>
    </xdr:to>
    <xdr:pic>
      <xdr:nvPicPr>
        <xdr:cNvPr id="6" name="Picture 5" descr="bs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3162300</xdr:colOff>
      <xdr:row>0</xdr:row>
      <xdr:rowOff>0</xdr:rowOff>
    </xdr:from>
    <xdr:to>
      <xdr:col>0</xdr:col>
      <xdr:colOff>3695700</xdr:colOff>
      <xdr:row>2</xdr:row>
      <xdr:rowOff>9525</xdr:rowOff>
    </xdr:to>
    <xdr:pic>
      <xdr:nvPicPr>
        <xdr:cNvPr id="7" name="Picture 5" descr="bs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3162300</xdr:colOff>
      <xdr:row>0</xdr:row>
      <xdr:rowOff>0</xdr:rowOff>
    </xdr:from>
    <xdr:to>
      <xdr:col>0</xdr:col>
      <xdr:colOff>3695700</xdr:colOff>
      <xdr:row>2</xdr:row>
      <xdr:rowOff>9525</xdr:rowOff>
    </xdr:to>
    <xdr:pic>
      <xdr:nvPicPr>
        <xdr:cNvPr id="8" name="Picture 5" descr="bs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3162300</xdr:colOff>
      <xdr:row>0</xdr:row>
      <xdr:rowOff>0</xdr:rowOff>
    </xdr:from>
    <xdr:to>
      <xdr:col>0</xdr:col>
      <xdr:colOff>3695700</xdr:colOff>
      <xdr:row>2</xdr:row>
      <xdr:rowOff>9525</xdr:rowOff>
    </xdr:to>
    <xdr:pic>
      <xdr:nvPicPr>
        <xdr:cNvPr id="9" name="Picture 5" descr="bs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3162300</xdr:colOff>
      <xdr:row>0</xdr:row>
      <xdr:rowOff>0</xdr:rowOff>
    </xdr:from>
    <xdr:to>
      <xdr:col>0</xdr:col>
      <xdr:colOff>3695700</xdr:colOff>
      <xdr:row>2</xdr:row>
      <xdr:rowOff>9525</xdr:rowOff>
    </xdr:to>
    <xdr:pic>
      <xdr:nvPicPr>
        <xdr:cNvPr id="10" name="Picture 5" descr="bs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3162300</xdr:colOff>
      <xdr:row>0</xdr:row>
      <xdr:rowOff>0</xdr:rowOff>
    </xdr:from>
    <xdr:to>
      <xdr:col>0</xdr:col>
      <xdr:colOff>3695700</xdr:colOff>
      <xdr:row>2</xdr:row>
      <xdr:rowOff>9525</xdr:rowOff>
    </xdr:to>
    <xdr:pic>
      <xdr:nvPicPr>
        <xdr:cNvPr id="11" name="Picture 5" descr="bs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3162300</xdr:colOff>
      <xdr:row>0</xdr:row>
      <xdr:rowOff>0</xdr:rowOff>
    </xdr:from>
    <xdr:to>
      <xdr:col>0</xdr:col>
      <xdr:colOff>3695700</xdr:colOff>
      <xdr:row>2</xdr:row>
      <xdr:rowOff>9525</xdr:rowOff>
    </xdr:to>
    <xdr:pic>
      <xdr:nvPicPr>
        <xdr:cNvPr id="12" name="Picture 11" descr="bs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3162300</xdr:colOff>
      <xdr:row>0</xdr:row>
      <xdr:rowOff>0</xdr:rowOff>
    </xdr:from>
    <xdr:to>
      <xdr:col>0</xdr:col>
      <xdr:colOff>3695700</xdr:colOff>
      <xdr:row>2</xdr:row>
      <xdr:rowOff>9525</xdr:rowOff>
    </xdr:to>
    <xdr:pic>
      <xdr:nvPicPr>
        <xdr:cNvPr id="13" name="Picture 5" descr="bs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a_Lubrica/Desktop/2013/SAOB2013%20(Autosaved)%20jan%208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ob balances 2013"/>
      <sheetName val="2012-2013comparativeupmar7"/>
      <sheetName val="breakdown 2013"/>
      <sheetName val="2012&amp;2013allotment"/>
      <sheetName val="breakdown 2012"/>
      <sheetName val="PSMOOECO2013upmar7"/>
      <sheetName val="JANUARY SAOB"/>
      <sheetName val="FEBRUARY SAOB"/>
      <sheetName val="MARCH SAOB"/>
      <sheetName val="APRIL SAOB"/>
      <sheetName val="MAY SAOB"/>
      <sheetName val="JUNE SAOB"/>
      <sheetName val="JULY SAOB"/>
      <sheetName val="AUGUST SAOB"/>
      <sheetName val="SEPTEMBER SAOB"/>
      <sheetName val="OCTOBER SAOB"/>
      <sheetName val="NOVEMBER SAOB"/>
      <sheetName val="DECEMBER SAOB"/>
      <sheetName val="Sheet3"/>
      <sheetName val="2014"/>
      <sheetName val="2013 breakdown of allotment"/>
      <sheetName val="scholarship breakdown"/>
      <sheetName val="HARRDEC Breakdown"/>
      <sheetName val="Legarda Fund Ledg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D9">
            <v>2262269.88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2">
          <cell r="F52">
            <v>1112720</v>
          </cell>
          <cell r="V52">
            <v>1586555</v>
          </cell>
          <cell r="AB52">
            <v>433000</v>
          </cell>
        </row>
        <row r="53">
          <cell r="AB53">
            <v>0</v>
          </cell>
        </row>
      </sheetData>
      <sheetData sheetId="21">
        <row r="352">
          <cell r="B352">
            <v>64876</v>
          </cell>
          <cell r="C352">
            <v>12492862.770000001</v>
          </cell>
          <cell r="D352">
            <v>45800</v>
          </cell>
        </row>
      </sheetData>
      <sheetData sheetId="22">
        <row r="466">
          <cell r="B466">
            <v>628553.92000000004</v>
          </cell>
          <cell r="C466">
            <v>1103659.3200000003</v>
          </cell>
          <cell r="D466">
            <v>103600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workbookViewId="0">
      <selection activeCell="C19" sqref="C19"/>
    </sheetView>
  </sheetViews>
  <sheetFormatPr defaultColWidth="9" defaultRowHeight="12.75"/>
  <cols>
    <col min="1" max="1" width="3.5703125" style="2" customWidth="1"/>
    <col min="2" max="2" width="53.42578125" style="2" customWidth="1"/>
    <col min="3" max="3" width="15.5703125" style="2" customWidth="1"/>
    <col min="4" max="4" width="15.7109375" style="2" customWidth="1"/>
    <col min="5" max="5" width="14.5703125" style="2" customWidth="1"/>
    <col min="6" max="6" width="15" style="2" customWidth="1"/>
    <col min="7" max="7" width="17.42578125" style="2" customWidth="1"/>
    <col min="8" max="256" width="9" style="2"/>
    <col min="257" max="257" width="3.5703125" style="2" customWidth="1"/>
    <col min="258" max="258" width="53.42578125" style="2" customWidth="1"/>
    <col min="259" max="259" width="15.5703125" style="2" customWidth="1"/>
    <col min="260" max="260" width="15.7109375" style="2" customWidth="1"/>
    <col min="261" max="261" width="14.5703125" style="2" customWidth="1"/>
    <col min="262" max="262" width="15" style="2" customWidth="1"/>
    <col min="263" max="263" width="17.42578125" style="2" customWidth="1"/>
    <col min="264" max="512" width="9" style="2"/>
    <col min="513" max="513" width="3.5703125" style="2" customWidth="1"/>
    <col min="514" max="514" width="53.42578125" style="2" customWidth="1"/>
    <col min="515" max="515" width="15.5703125" style="2" customWidth="1"/>
    <col min="516" max="516" width="15.7109375" style="2" customWidth="1"/>
    <col min="517" max="517" width="14.5703125" style="2" customWidth="1"/>
    <col min="518" max="518" width="15" style="2" customWidth="1"/>
    <col min="519" max="519" width="17.42578125" style="2" customWidth="1"/>
    <col min="520" max="768" width="9" style="2"/>
    <col min="769" max="769" width="3.5703125" style="2" customWidth="1"/>
    <col min="770" max="770" width="53.42578125" style="2" customWidth="1"/>
    <col min="771" max="771" width="15.5703125" style="2" customWidth="1"/>
    <col min="772" max="772" width="15.7109375" style="2" customWidth="1"/>
    <col min="773" max="773" width="14.5703125" style="2" customWidth="1"/>
    <col min="774" max="774" width="15" style="2" customWidth="1"/>
    <col min="775" max="775" width="17.42578125" style="2" customWidth="1"/>
    <col min="776" max="1024" width="9" style="2"/>
    <col min="1025" max="1025" width="3.5703125" style="2" customWidth="1"/>
    <col min="1026" max="1026" width="53.42578125" style="2" customWidth="1"/>
    <col min="1027" max="1027" width="15.5703125" style="2" customWidth="1"/>
    <col min="1028" max="1028" width="15.7109375" style="2" customWidth="1"/>
    <col min="1029" max="1029" width="14.5703125" style="2" customWidth="1"/>
    <col min="1030" max="1030" width="15" style="2" customWidth="1"/>
    <col min="1031" max="1031" width="17.42578125" style="2" customWidth="1"/>
    <col min="1032" max="1280" width="9" style="2"/>
    <col min="1281" max="1281" width="3.5703125" style="2" customWidth="1"/>
    <col min="1282" max="1282" width="53.42578125" style="2" customWidth="1"/>
    <col min="1283" max="1283" width="15.5703125" style="2" customWidth="1"/>
    <col min="1284" max="1284" width="15.7109375" style="2" customWidth="1"/>
    <col min="1285" max="1285" width="14.5703125" style="2" customWidth="1"/>
    <col min="1286" max="1286" width="15" style="2" customWidth="1"/>
    <col min="1287" max="1287" width="17.42578125" style="2" customWidth="1"/>
    <col min="1288" max="1536" width="9" style="2"/>
    <col min="1537" max="1537" width="3.5703125" style="2" customWidth="1"/>
    <col min="1538" max="1538" width="53.42578125" style="2" customWidth="1"/>
    <col min="1539" max="1539" width="15.5703125" style="2" customWidth="1"/>
    <col min="1540" max="1540" width="15.7109375" style="2" customWidth="1"/>
    <col min="1541" max="1541" width="14.5703125" style="2" customWidth="1"/>
    <col min="1542" max="1542" width="15" style="2" customWidth="1"/>
    <col min="1543" max="1543" width="17.42578125" style="2" customWidth="1"/>
    <col min="1544" max="1792" width="9" style="2"/>
    <col min="1793" max="1793" width="3.5703125" style="2" customWidth="1"/>
    <col min="1794" max="1794" width="53.42578125" style="2" customWidth="1"/>
    <col min="1795" max="1795" width="15.5703125" style="2" customWidth="1"/>
    <col min="1796" max="1796" width="15.7109375" style="2" customWidth="1"/>
    <col min="1797" max="1797" width="14.5703125" style="2" customWidth="1"/>
    <col min="1798" max="1798" width="15" style="2" customWidth="1"/>
    <col min="1799" max="1799" width="17.42578125" style="2" customWidth="1"/>
    <col min="1800" max="2048" width="9" style="2"/>
    <col min="2049" max="2049" width="3.5703125" style="2" customWidth="1"/>
    <col min="2050" max="2050" width="53.42578125" style="2" customWidth="1"/>
    <col min="2051" max="2051" width="15.5703125" style="2" customWidth="1"/>
    <col min="2052" max="2052" width="15.7109375" style="2" customWidth="1"/>
    <col min="2053" max="2053" width="14.5703125" style="2" customWidth="1"/>
    <col min="2054" max="2054" width="15" style="2" customWidth="1"/>
    <col min="2055" max="2055" width="17.42578125" style="2" customWidth="1"/>
    <col min="2056" max="2304" width="9" style="2"/>
    <col min="2305" max="2305" width="3.5703125" style="2" customWidth="1"/>
    <col min="2306" max="2306" width="53.42578125" style="2" customWidth="1"/>
    <col min="2307" max="2307" width="15.5703125" style="2" customWidth="1"/>
    <col min="2308" max="2308" width="15.7109375" style="2" customWidth="1"/>
    <col min="2309" max="2309" width="14.5703125" style="2" customWidth="1"/>
    <col min="2310" max="2310" width="15" style="2" customWidth="1"/>
    <col min="2311" max="2311" width="17.42578125" style="2" customWidth="1"/>
    <col min="2312" max="2560" width="9" style="2"/>
    <col min="2561" max="2561" width="3.5703125" style="2" customWidth="1"/>
    <col min="2562" max="2562" width="53.42578125" style="2" customWidth="1"/>
    <col min="2563" max="2563" width="15.5703125" style="2" customWidth="1"/>
    <col min="2564" max="2564" width="15.7109375" style="2" customWidth="1"/>
    <col min="2565" max="2565" width="14.5703125" style="2" customWidth="1"/>
    <col min="2566" max="2566" width="15" style="2" customWidth="1"/>
    <col min="2567" max="2567" width="17.42578125" style="2" customWidth="1"/>
    <col min="2568" max="2816" width="9" style="2"/>
    <col min="2817" max="2817" width="3.5703125" style="2" customWidth="1"/>
    <col min="2818" max="2818" width="53.42578125" style="2" customWidth="1"/>
    <col min="2819" max="2819" width="15.5703125" style="2" customWidth="1"/>
    <col min="2820" max="2820" width="15.7109375" style="2" customWidth="1"/>
    <col min="2821" max="2821" width="14.5703125" style="2" customWidth="1"/>
    <col min="2822" max="2822" width="15" style="2" customWidth="1"/>
    <col min="2823" max="2823" width="17.42578125" style="2" customWidth="1"/>
    <col min="2824" max="3072" width="9" style="2"/>
    <col min="3073" max="3073" width="3.5703125" style="2" customWidth="1"/>
    <col min="3074" max="3074" width="53.42578125" style="2" customWidth="1"/>
    <col min="3075" max="3075" width="15.5703125" style="2" customWidth="1"/>
    <col min="3076" max="3076" width="15.7109375" style="2" customWidth="1"/>
    <col min="3077" max="3077" width="14.5703125" style="2" customWidth="1"/>
    <col min="3078" max="3078" width="15" style="2" customWidth="1"/>
    <col min="3079" max="3079" width="17.42578125" style="2" customWidth="1"/>
    <col min="3080" max="3328" width="9" style="2"/>
    <col min="3329" max="3329" width="3.5703125" style="2" customWidth="1"/>
    <col min="3330" max="3330" width="53.42578125" style="2" customWidth="1"/>
    <col min="3331" max="3331" width="15.5703125" style="2" customWidth="1"/>
    <col min="3332" max="3332" width="15.7109375" style="2" customWidth="1"/>
    <col min="3333" max="3333" width="14.5703125" style="2" customWidth="1"/>
    <col min="3334" max="3334" width="15" style="2" customWidth="1"/>
    <col min="3335" max="3335" width="17.42578125" style="2" customWidth="1"/>
    <col min="3336" max="3584" width="9" style="2"/>
    <col min="3585" max="3585" width="3.5703125" style="2" customWidth="1"/>
    <col min="3586" max="3586" width="53.42578125" style="2" customWidth="1"/>
    <col min="3587" max="3587" width="15.5703125" style="2" customWidth="1"/>
    <col min="3588" max="3588" width="15.7109375" style="2" customWidth="1"/>
    <col min="3589" max="3589" width="14.5703125" style="2" customWidth="1"/>
    <col min="3590" max="3590" width="15" style="2" customWidth="1"/>
    <col min="3591" max="3591" width="17.42578125" style="2" customWidth="1"/>
    <col min="3592" max="3840" width="9" style="2"/>
    <col min="3841" max="3841" width="3.5703125" style="2" customWidth="1"/>
    <col min="3842" max="3842" width="53.42578125" style="2" customWidth="1"/>
    <col min="3843" max="3843" width="15.5703125" style="2" customWidth="1"/>
    <col min="3844" max="3844" width="15.7109375" style="2" customWidth="1"/>
    <col min="3845" max="3845" width="14.5703125" style="2" customWidth="1"/>
    <col min="3846" max="3846" width="15" style="2" customWidth="1"/>
    <col min="3847" max="3847" width="17.42578125" style="2" customWidth="1"/>
    <col min="3848" max="4096" width="9" style="2"/>
    <col min="4097" max="4097" width="3.5703125" style="2" customWidth="1"/>
    <col min="4098" max="4098" width="53.42578125" style="2" customWidth="1"/>
    <col min="4099" max="4099" width="15.5703125" style="2" customWidth="1"/>
    <col min="4100" max="4100" width="15.7109375" style="2" customWidth="1"/>
    <col min="4101" max="4101" width="14.5703125" style="2" customWidth="1"/>
    <col min="4102" max="4102" width="15" style="2" customWidth="1"/>
    <col min="4103" max="4103" width="17.42578125" style="2" customWidth="1"/>
    <col min="4104" max="4352" width="9" style="2"/>
    <col min="4353" max="4353" width="3.5703125" style="2" customWidth="1"/>
    <col min="4354" max="4354" width="53.42578125" style="2" customWidth="1"/>
    <col min="4355" max="4355" width="15.5703125" style="2" customWidth="1"/>
    <col min="4356" max="4356" width="15.7109375" style="2" customWidth="1"/>
    <col min="4357" max="4357" width="14.5703125" style="2" customWidth="1"/>
    <col min="4358" max="4358" width="15" style="2" customWidth="1"/>
    <col min="4359" max="4359" width="17.42578125" style="2" customWidth="1"/>
    <col min="4360" max="4608" width="9" style="2"/>
    <col min="4609" max="4609" width="3.5703125" style="2" customWidth="1"/>
    <col min="4610" max="4610" width="53.42578125" style="2" customWidth="1"/>
    <col min="4611" max="4611" width="15.5703125" style="2" customWidth="1"/>
    <col min="4612" max="4612" width="15.7109375" style="2" customWidth="1"/>
    <col min="4613" max="4613" width="14.5703125" style="2" customWidth="1"/>
    <col min="4614" max="4614" width="15" style="2" customWidth="1"/>
    <col min="4615" max="4615" width="17.42578125" style="2" customWidth="1"/>
    <col min="4616" max="4864" width="9" style="2"/>
    <col min="4865" max="4865" width="3.5703125" style="2" customWidth="1"/>
    <col min="4866" max="4866" width="53.42578125" style="2" customWidth="1"/>
    <col min="4867" max="4867" width="15.5703125" style="2" customWidth="1"/>
    <col min="4868" max="4868" width="15.7109375" style="2" customWidth="1"/>
    <col min="4869" max="4869" width="14.5703125" style="2" customWidth="1"/>
    <col min="4870" max="4870" width="15" style="2" customWidth="1"/>
    <col min="4871" max="4871" width="17.42578125" style="2" customWidth="1"/>
    <col min="4872" max="5120" width="9" style="2"/>
    <col min="5121" max="5121" width="3.5703125" style="2" customWidth="1"/>
    <col min="5122" max="5122" width="53.42578125" style="2" customWidth="1"/>
    <col min="5123" max="5123" width="15.5703125" style="2" customWidth="1"/>
    <col min="5124" max="5124" width="15.7109375" style="2" customWidth="1"/>
    <col min="5125" max="5125" width="14.5703125" style="2" customWidth="1"/>
    <col min="5126" max="5126" width="15" style="2" customWidth="1"/>
    <col min="5127" max="5127" width="17.42578125" style="2" customWidth="1"/>
    <col min="5128" max="5376" width="9" style="2"/>
    <col min="5377" max="5377" width="3.5703125" style="2" customWidth="1"/>
    <col min="5378" max="5378" width="53.42578125" style="2" customWidth="1"/>
    <col min="5379" max="5379" width="15.5703125" style="2" customWidth="1"/>
    <col min="5380" max="5380" width="15.7109375" style="2" customWidth="1"/>
    <col min="5381" max="5381" width="14.5703125" style="2" customWidth="1"/>
    <col min="5382" max="5382" width="15" style="2" customWidth="1"/>
    <col min="5383" max="5383" width="17.42578125" style="2" customWidth="1"/>
    <col min="5384" max="5632" width="9" style="2"/>
    <col min="5633" max="5633" width="3.5703125" style="2" customWidth="1"/>
    <col min="5634" max="5634" width="53.42578125" style="2" customWidth="1"/>
    <col min="5635" max="5635" width="15.5703125" style="2" customWidth="1"/>
    <col min="5636" max="5636" width="15.7109375" style="2" customWidth="1"/>
    <col min="5637" max="5637" width="14.5703125" style="2" customWidth="1"/>
    <col min="5638" max="5638" width="15" style="2" customWidth="1"/>
    <col min="5639" max="5639" width="17.42578125" style="2" customWidth="1"/>
    <col min="5640" max="5888" width="9" style="2"/>
    <col min="5889" max="5889" width="3.5703125" style="2" customWidth="1"/>
    <col min="5890" max="5890" width="53.42578125" style="2" customWidth="1"/>
    <col min="5891" max="5891" width="15.5703125" style="2" customWidth="1"/>
    <col min="5892" max="5892" width="15.7109375" style="2" customWidth="1"/>
    <col min="5893" max="5893" width="14.5703125" style="2" customWidth="1"/>
    <col min="5894" max="5894" width="15" style="2" customWidth="1"/>
    <col min="5895" max="5895" width="17.42578125" style="2" customWidth="1"/>
    <col min="5896" max="6144" width="9" style="2"/>
    <col min="6145" max="6145" width="3.5703125" style="2" customWidth="1"/>
    <col min="6146" max="6146" width="53.42578125" style="2" customWidth="1"/>
    <col min="6147" max="6147" width="15.5703125" style="2" customWidth="1"/>
    <col min="6148" max="6148" width="15.7109375" style="2" customWidth="1"/>
    <col min="6149" max="6149" width="14.5703125" style="2" customWidth="1"/>
    <col min="6150" max="6150" width="15" style="2" customWidth="1"/>
    <col min="6151" max="6151" width="17.42578125" style="2" customWidth="1"/>
    <col min="6152" max="6400" width="9" style="2"/>
    <col min="6401" max="6401" width="3.5703125" style="2" customWidth="1"/>
    <col min="6402" max="6402" width="53.42578125" style="2" customWidth="1"/>
    <col min="6403" max="6403" width="15.5703125" style="2" customWidth="1"/>
    <col min="6404" max="6404" width="15.7109375" style="2" customWidth="1"/>
    <col min="6405" max="6405" width="14.5703125" style="2" customWidth="1"/>
    <col min="6406" max="6406" width="15" style="2" customWidth="1"/>
    <col min="6407" max="6407" width="17.42578125" style="2" customWidth="1"/>
    <col min="6408" max="6656" width="9" style="2"/>
    <col min="6657" max="6657" width="3.5703125" style="2" customWidth="1"/>
    <col min="6658" max="6658" width="53.42578125" style="2" customWidth="1"/>
    <col min="6659" max="6659" width="15.5703125" style="2" customWidth="1"/>
    <col min="6660" max="6660" width="15.7109375" style="2" customWidth="1"/>
    <col min="6661" max="6661" width="14.5703125" style="2" customWidth="1"/>
    <col min="6662" max="6662" width="15" style="2" customWidth="1"/>
    <col min="6663" max="6663" width="17.42578125" style="2" customWidth="1"/>
    <col min="6664" max="6912" width="9" style="2"/>
    <col min="6913" max="6913" width="3.5703125" style="2" customWidth="1"/>
    <col min="6914" max="6914" width="53.42578125" style="2" customWidth="1"/>
    <col min="6915" max="6915" width="15.5703125" style="2" customWidth="1"/>
    <col min="6916" max="6916" width="15.7109375" style="2" customWidth="1"/>
    <col min="6917" max="6917" width="14.5703125" style="2" customWidth="1"/>
    <col min="6918" max="6918" width="15" style="2" customWidth="1"/>
    <col min="6919" max="6919" width="17.42578125" style="2" customWidth="1"/>
    <col min="6920" max="7168" width="9" style="2"/>
    <col min="7169" max="7169" width="3.5703125" style="2" customWidth="1"/>
    <col min="7170" max="7170" width="53.42578125" style="2" customWidth="1"/>
    <col min="7171" max="7171" width="15.5703125" style="2" customWidth="1"/>
    <col min="7172" max="7172" width="15.7109375" style="2" customWidth="1"/>
    <col min="7173" max="7173" width="14.5703125" style="2" customWidth="1"/>
    <col min="7174" max="7174" width="15" style="2" customWidth="1"/>
    <col min="7175" max="7175" width="17.42578125" style="2" customWidth="1"/>
    <col min="7176" max="7424" width="9" style="2"/>
    <col min="7425" max="7425" width="3.5703125" style="2" customWidth="1"/>
    <col min="7426" max="7426" width="53.42578125" style="2" customWidth="1"/>
    <col min="7427" max="7427" width="15.5703125" style="2" customWidth="1"/>
    <col min="7428" max="7428" width="15.7109375" style="2" customWidth="1"/>
    <col min="7429" max="7429" width="14.5703125" style="2" customWidth="1"/>
    <col min="7430" max="7430" width="15" style="2" customWidth="1"/>
    <col min="7431" max="7431" width="17.42578125" style="2" customWidth="1"/>
    <col min="7432" max="7680" width="9" style="2"/>
    <col min="7681" max="7681" width="3.5703125" style="2" customWidth="1"/>
    <col min="7682" max="7682" width="53.42578125" style="2" customWidth="1"/>
    <col min="7683" max="7683" width="15.5703125" style="2" customWidth="1"/>
    <col min="7684" max="7684" width="15.7109375" style="2" customWidth="1"/>
    <col min="7685" max="7685" width="14.5703125" style="2" customWidth="1"/>
    <col min="7686" max="7686" width="15" style="2" customWidth="1"/>
    <col min="7687" max="7687" width="17.42578125" style="2" customWidth="1"/>
    <col min="7688" max="7936" width="9" style="2"/>
    <col min="7937" max="7937" width="3.5703125" style="2" customWidth="1"/>
    <col min="7938" max="7938" width="53.42578125" style="2" customWidth="1"/>
    <col min="7939" max="7939" width="15.5703125" style="2" customWidth="1"/>
    <col min="7940" max="7940" width="15.7109375" style="2" customWidth="1"/>
    <col min="7941" max="7941" width="14.5703125" style="2" customWidth="1"/>
    <col min="7942" max="7942" width="15" style="2" customWidth="1"/>
    <col min="7943" max="7943" width="17.42578125" style="2" customWidth="1"/>
    <col min="7944" max="8192" width="9" style="2"/>
    <col min="8193" max="8193" width="3.5703125" style="2" customWidth="1"/>
    <col min="8194" max="8194" width="53.42578125" style="2" customWidth="1"/>
    <col min="8195" max="8195" width="15.5703125" style="2" customWidth="1"/>
    <col min="8196" max="8196" width="15.7109375" style="2" customWidth="1"/>
    <col min="8197" max="8197" width="14.5703125" style="2" customWidth="1"/>
    <col min="8198" max="8198" width="15" style="2" customWidth="1"/>
    <col min="8199" max="8199" width="17.42578125" style="2" customWidth="1"/>
    <col min="8200" max="8448" width="9" style="2"/>
    <col min="8449" max="8449" width="3.5703125" style="2" customWidth="1"/>
    <col min="8450" max="8450" width="53.42578125" style="2" customWidth="1"/>
    <col min="8451" max="8451" width="15.5703125" style="2" customWidth="1"/>
    <col min="8452" max="8452" width="15.7109375" style="2" customWidth="1"/>
    <col min="8453" max="8453" width="14.5703125" style="2" customWidth="1"/>
    <col min="8454" max="8454" width="15" style="2" customWidth="1"/>
    <col min="8455" max="8455" width="17.42578125" style="2" customWidth="1"/>
    <col min="8456" max="8704" width="9" style="2"/>
    <col min="8705" max="8705" width="3.5703125" style="2" customWidth="1"/>
    <col min="8706" max="8706" width="53.42578125" style="2" customWidth="1"/>
    <col min="8707" max="8707" width="15.5703125" style="2" customWidth="1"/>
    <col min="8708" max="8708" width="15.7109375" style="2" customWidth="1"/>
    <col min="8709" max="8709" width="14.5703125" style="2" customWidth="1"/>
    <col min="8710" max="8710" width="15" style="2" customWidth="1"/>
    <col min="8711" max="8711" width="17.42578125" style="2" customWidth="1"/>
    <col min="8712" max="8960" width="9" style="2"/>
    <col min="8961" max="8961" width="3.5703125" style="2" customWidth="1"/>
    <col min="8962" max="8962" width="53.42578125" style="2" customWidth="1"/>
    <col min="8963" max="8963" width="15.5703125" style="2" customWidth="1"/>
    <col min="8964" max="8964" width="15.7109375" style="2" customWidth="1"/>
    <col min="8965" max="8965" width="14.5703125" style="2" customWidth="1"/>
    <col min="8966" max="8966" width="15" style="2" customWidth="1"/>
    <col min="8967" max="8967" width="17.42578125" style="2" customWidth="1"/>
    <col min="8968" max="9216" width="9" style="2"/>
    <col min="9217" max="9217" width="3.5703125" style="2" customWidth="1"/>
    <col min="9218" max="9218" width="53.42578125" style="2" customWidth="1"/>
    <col min="9219" max="9219" width="15.5703125" style="2" customWidth="1"/>
    <col min="9220" max="9220" width="15.7109375" style="2" customWidth="1"/>
    <col min="9221" max="9221" width="14.5703125" style="2" customWidth="1"/>
    <col min="9222" max="9222" width="15" style="2" customWidth="1"/>
    <col min="9223" max="9223" width="17.42578125" style="2" customWidth="1"/>
    <col min="9224" max="9472" width="9" style="2"/>
    <col min="9473" max="9473" width="3.5703125" style="2" customWidth="1"/>
    <col min="9474" max="9474" width="53.42578125" style="2" customWidth="1"/>
    <col min="9475" max="9475" width="15.5703125" style="2" customWidth="1"/>
    <col min="9476" max="9476" width="15.7109375" style="2" customWidth="1"/>
    <col min="9477" max="9477" width="14.5703125" style="2" customWidth="1"/>
    <col min="9478" max="9478" width="15" style="2" customWidth="1"/>
    <col min="9479" max="9479" width="17.42578125" style="2" customWidth="1"/>
    <col min="9480" max="9728" width="9" style="2"/>
    <col min="9729" max="9729" width="3.5703125" style="2" customWidth="1"/>
    <col min="9730" max="9730" width="53.42578125" style="2" customWidth="1"/>
    <col min="9731" max="9731" width="15.5703125" style="2" customWidth="1"/>
    <col min="9732" max="9732" width="15.7109375" style="2" customWidth="1"/>
    <col min="9733" max="9733" width="14.5703125" style="2" customWidth="1"/>
    <col min="9734" max="9734" width="15" style="2" customWidth="1"/>
    <col min="9735" max="9735" width="17.42578125" style="2" customWidth="1"/>
    <col min="9736" max="9984" width="9" style="2"/>
    <col min="9985" max="9985" width="3.5703125" style="2" customWidth="1"/>
    <col min="9986" max="9986" width="53.42578125" style="2" customWidth="1"/>
    <col min="9987" max="9987" width="15.5703125" style="2" customWidth="1"/>
    <col min="9988" max="9988" width="15.7109375" style="2" customWidth="1"/>
    <col min="9989" max="9989" width="14.5703125" style="2" customWidth="1"/>
    <col min="9990" max="9990" width="15" style="2" customWidth="1"/>
    <col min="9991" max="9991" width="17.42578125" style="2" customWidth="1"/>
    <col min="9992" max="10240" width="9" style="2"/>
    <col min="10241" max="10241" width="3.5703125" style="2" customWidth="1"/>
    <col min="10242" max="10242" width="53.42578125" style="2" customWidth="1"/>
    <col min="10243" max="10243" width="15.5703125" style="2" customWidth="1"/>
    <col min="10244" max="10244" width="15.7109375" style="2" customWidth="1"/>
    <col min="10245" max="10245" width="14.5703125" style="2" customWidth="1"/>
    <col min="10246" max="10246" width="15" style="2" customWidth="1"/>
    <col min="10247" max="10247" width="17.42578125" style="2" customWidth="1"/>
    <col min="10248" max="10496" width="9" style="2"/>
    <col min="10497" max="10497" width="3.5703125" style="2" customWidth="1"/>
    <col min="10498" max="10498" width="53.42578125" style="2" customWidth="1"/>
    <col min="10499" max="10499" width="15.5703125" style="2" customWidth="1"/>
    <col min="10500" max="10500" width="15.7109375" style="2" customWidth="1"/>
    <col min="10501" max="10501" width="14.5703125" style="2" customWidth="1"/>
    <col min="10502" max="10502" width="15" style="2" customWidth="1"/>
    <col min="10503" max="10503" width="17.42578125" style="2" customWidth="1"/>
    <col min="10504" max="10752" width="9" style="2"/>
    <col min="10753" max="10753" width="3.5703125" style="2" customWidth="1"/>
    <col min="10754" max="10754" width="53.42578125" style="2" customWidth="1"/>
    <col min="10755" max="10755" width="15.5703125" style="2" customWidth="1"/>
    <col min="10756" max="10756" width="15.7109375" style="2" customWidth="1"/>
    <col min="10757" max="10757" width="14.5703125" style="2" customWidth="1"/>
    <col min="10758" max="10758" width="15" style="2" customWidth="1"/>
    <col min="10759" max="10759" width="17.42578125" style="2" customWidth="1"/>
    <col min="10760" max="11008" width="9" style="2"/>
    <col min="11009" max="11009" width="3.5703125" style="2" customWidth="1"/>
    <col min="11010" max="11010" width="53.42578125" style="2" customWidth="1"/>
    <col min="11011" max="11011" width="15.5703125" style="2" customWidth="1"/>
    <col min="11012" max="11012" width="15.7109375" style="2" customWidth="1"/>
    <col min="11013" max="11013" width="14.5703125" style="2" customWidth="1"/>
    <col min="11014" max="11014" width="15" style="2" customWidth="1"/>
    <col min="11015" max="11015" width="17.42578125" style="2" customWidth="1"/>
    <col min="11016" max="11264" width="9" style="2"/>
    <col min="11265" max="11265" width="3.5703125" style="2" customWidth="1"/>
    <col min="11266" max="11266" width="53.42578125" style="2" customWidth="1"/>
    <col min="11267" max="11267" width="15.5703125" style="2" customWidth="1"/>
    <col min="11268" max="11268" width="15.7109375" style="2" customWidth="1"/>
    <col min="11269" max="11269" width="14.5703125" style="2" customWidth="1"/>
    <col min="11270" max="11270" width="15" style="2" customWidth="1"/>
    <col min="11271" max="11271" width="17.42578125" style="2" customWidth="1"/>
    <col min="11272" max="11520" width="9" style="2"/>
    <col min="11521" max="11521" width="3.5703125" style="2" customWidth="1"/>
    <col min="11522" max="11522" width="53.42578125" style="2" customWidth="1"/>
    <col min="11523" max="11523" width="15.5703125" style="2" customWidth="1"/>
    <col min="11524" max="11524" width="15.7109375" style="2" customWidth="1"/>
    <col min="11525" max="11525" width="14.5703125" style="2" customWidth="1"/>
    <col min="11526" max="11526" width="15" style="2" customWidth="1"/>
    <col min="11527" max="11527" width="17.42578125" style="2" customWidth="1"/>
    <col min="11528" max="11776" width="9" style="2"/>
    <col min="11777" max="11777" width="3.5703125" style="2" customWidth="1"/>
    <col min="11778" max="11778" width="53.42578125" style="2" customWidth="1"/>
    <col min="11779" max="11779" width="15.5703125" style="2" customWidth="1"/>
    <col min="11780" max="11780" width="15.7109375" style="2" customWidth="1"/>
    <col min="11781" max="11781" width="14.5703125" style="2" customWidth="1"/>
    <col min="11782" max="11782" width="15" style="2" customWidth="1"/>
    <col min="11783" max="11783" width="17.42578125" style="2" customWidth="1"/>
    <col min="11784" max="12032" width="9" style="2"/>
    <col min="12033" max="12033" width="3.5703125" style="2" customWidth="1"/>
    <col min="12034" max="12034" width="53.42578125" style="2" customWidth="1"/>
    <col min="12035" max="12035" width="15.5703125" style="2" customWidth="1"/>
    <col min="12036" max="12036" width="15.7109375" style="2" customWidth="1"/>
    <col min="12037" max="12037" width="14.5703125" style="2" customWidth="1"/>
    <col min="12038" max="12038" width="15" style="2" customWidth="1"/>
    <col min="12039" max="12039" width="17.42578125" style="2" customWidth="1"/>
    <col min="12040" max="12288" width="9" style="2"/>
    <col min="12289" max="12289" width="3.5703125" style="2" customWidth="1"/>
    <col min="12290" max="12290" width="53.42578125" style="2" customWidth="1"/>
    <col min="12291" max="12291" width="15.5703125" style="2" customWidth="1"/>
    <col min="12292" max="12292" width="15.7109375" style="2" customWidth="1"/>
    <col min="12293" max="12293" width="14.5703125" style="2" customWidth="1"/>
    <col min="12294" max="12294" width="15" style="2" customWidth="1"/>
    <col min="12295" max="12295" width="17.42578125" style="2" customWidth="1"/>
    <col min="12296" max="12544" width="9" style="2"/>
    <col min="12545" max="12545" width="3.5703125" style="2" customWidth="1"/>
    <col min="12546" max="12546" width="53.42578125" style="2" customWidth="1"/>
    <col min="12547" max="12547" width="15.5703125" style="2" customWidth="1"/>
    <col min="12548" max="12548" width="15.7109375" style="2" customWidth="1"/>
    <col min="12549" max="12549" width="14.5703125" style="2" customWidth="1"/>
    <col min="12550" max="12550" width="15" style="2" customWidth="1"/>
    <col min="12551" max="12551" width="17.42578125" style="2" customWidth="1"/>
    <col min="12552" max="12800" width="9" style="2"/>
    <col min="12801" max="12801" width="3.5703125" style="2" customWidth="1"/>
    <col min="12802" max="12802" width="53.42578125" style="2" customWidth="1"/>
    <col min="12803" max="12803" width="15.5703125" style="2" customWidth="1"/>
    <col min="12804" max="12804" width="15.7109375" style="2" customWidth="1"/>
    <col min="12805" max="12805" width="14.5703125" style="2" customWidth="1"/>
    <col min="12806" max="12806" width="15" style="2" customWidth="1"/>
    <col min="12807" max="12807" width="17.42578125" style="2" customWidth="1"/>
    <col min="12808" max="13056" width="9" style="2"/>
    <col min="13057" max="13057" width="3.5703125" style="2" customWidth="1"/>
    <col min="13058" max="13058" width="53.42578125" style="2" customWidth="1"/>
    <col min="13059" max="13059" width="15.5703125" style="2" customWidth="1"/>
    <col min="13060" max="13060" width="15.7109375" style="2" customWidth="1"/>
    <col min="13061" max="13061" width="14.5703125" style="2" customWidth="1"/>
    <col min="13062" max="13062" width="15" style="2" customWidth="1"/>
    <col min="13063" max="13063" width="17.42578125" style="2" customWidth="1"/>
    <col min="13064" max="13312" width="9" style="2"/>
    <col min="13313" max="13313" width="3.5703125" style="2" customWidth="1"/>
    <col min="13314" max="13314" width="53.42578125" style="2" customWidth="1"/>
    <col min="13315" max="13315" width="15.5703125" style="2" customWidth="1"/>
    <col min="13316" max="13316" width="15.7109375" style="2" customWidth="1"/>
    <col min="13317" max="13317" width="14.5703125" style="2" customWidth="1"/>
    <col min="13318" max="13318" width="15" style="2" customWidth="1"/>
    <col min="13319" max="13319" width="17.42578125" style="2" customWidth="1"/>
    <col min="13320" max="13568" width="9" style="2"/>
    <col min="13569" max="13569" width="3.5703125" style="2" customWidth="1"/>
    <col min="13570" max="13570" width="53.42578125" style="2" customWidth="1"/>
    <col min="13571" max="13571" width="15.5703125" style="2" customWidth="1"/>
    <col min="13572" max="13572" width="15.7109375" style="2" customWidth="1"/>
    <col min="13573" max="13573" width="14.5703125" style="2" customWidth="1"/>
    <col min="13574" max="13574" width="15" style="2" customWidth="1"/>
    <col min="13575" max="13575" width="17.42578125" style="2" customWidth="1"/>
    <col min="13576" max="13824" width="9" style="2"/>
    <col min="13825" max="13825" width="3.5703125" style="2" customWidth="1"/>
    <col min="13826" max="13826" width="53.42578125" style="2" customWidth="1"/>
    <col min="13827" max="13827" width="15.5703125" style="2" customWidth="1"/>
    <col min="13828" max="13828" width="15.7109375" style="2" customWidth="1"/>
    <col min="13829" max="13829" width="14.5703125" style="2" customWidth="1"/>
    <col min="13830" max="13830" width="15" style="2" customWidth="1"/>
    <col min="13831" max="13831" width="17.42578125" style="2" customWidth="1"/>
    <col min="13832" max="14080" width="9" style="2"/>
    <col min="14081" max="14081" width="3.5703125" style="2" customWidth="1"/>
    <col min="14082" max="14082" width="53.42578125" style="2" customWidth="1"/>
    <col min="14083" max="14083" width="15.5703125" style="2" customWidth="1"/>
    <col min="14084" max="14084" width="15.7109375" style="2" customWidth="1"/>
    <col min="14085" max="14085" width="14.5703125" style="2" customWidth="1"/>
    <col min="14086" max="14086" width="15" style="2" customWidth="1"/>
    <col min="14087" max="14087" width="17.42578125" style="2" customWidth="1"/>
    <col min="14088" max="14336" width="9" style="2"/>
    <col min="14337" max="14337" width="3.5703125" style="2" customWidth="1"/>
    <col min="14338" max="14338" width="53.42578125" style="2" customWidth="1"/>
    <col min="14339" max="14339" width="15.5703125" style="2" customWidth="1"/>
    <col min="14340" max="14340" width="15.7109375" style="2" customWidth="1"/>
    <col min="14341" max="14341" width="14.5703125" style="2" customWidth="1"/>
    <col min="14342" max="14342" width="15" style="2" customWidth="1"/>
    <col min="14343" max="14343" width="17.42578125" style="2" customWidth="1"/>
    <col min="14344" max="14592" width="9" style="2"/>
    <col min="14593" max="14593" width="3.5703125" style="2" customWidth="1"/>
    <col min="14594" max="14594" width="53.42578125" style="2" customWidth="1"/>
    <col min="14595" max="14595" width="15.5703125" style="2" customWidth="1"/>
    <col min="14596" max="14596" width="15.7109375" style="2" customWidth="1"/>
    <col min="14597" max="14597" width="14.5703125" style="2" customWidth="1"/>
    <col min="14598" max="14598" width="15" style="2" customWidth="1"/>
    <col min="14599" max="14599" width="17.42578125" style="2" customWidth="1"/>
    <col min="14600" max="14848" width="9" style="2"/>
    <col min="14849" max="14849" width="3.5703125" style="2" customWidth="1"/>
    <col min="14850" max="14850" width="53.42578125" style="2" customWidth="1"/>
    <col min="14851" max="14851" width="15.5703125" style="2" customWidth="1"/>
    <col min="14852" max="14852" width="15.7109375" style="2" customWidth="1"/>
    <col min="14853" max="14853" width="14.5703125" style="2" customWidth="1"/>
    <col min="14854" max="14854" width="15" style="2" customWidth="1"/>
    <col min="14855" max="14855" width="17.42578125" style="2" customWidth="1"/>
    <col min="14856" max="15104" width="9" style="2"/>
    <col min="15105" max="15105" width="3.5703125" style="2" customWidth="1"/>
    <col min="15106" max="15106" width="53.42578125" style="2" customWidth="1"/>
    <col min="15107" max="15107" width="15.5703125" style="2" customWidth="1"/>
    <col min="15108" max="15108" width="15.7109375" style="2" customWidth="1"/>
    <col min="15109" max="15109" width="14.5703125" style="2" customWidth="1"/>
    <col min="15110" max="15110" width="15" style="2" customWidth="1"/>
    <col min="15111" max="15111" width="17.42578125" style="2" customWidth="1"/>
    <col min="15112" max="15360" width="9" style="2"/>
    <col min="15361" max="15361" width="3.5703125" style="2" customWidth="1"/>
    <col min="15362" max="15362" width="53.42578125" style="2" customWidth="1"/>
    <col min="15363" max="15363" width="15.5703125" style="2" customWidth="1"/>
    <col min="15364" max="15364" width="15.7109375" style="2" customWidth="1"/>
    <col min="15365" max="15365" width="14.5703125" style="2" customWidth="1"/>
    <col min="15366" max="15366" width="15" style="2" customWidth="1"/>
    <col min="15367" max="15367" width="17.42578125" style="2" customWidth="1"/>
    <col min="15368" max="15616" width="9" style="2"/>
    <col min="15617" max="15617" width="3.5703125" style="2" customWidth="1"/>
    <col min="15618" max="15618" width="53.42578125" style="2" customWidth="1"/>
    <col min="15619" max="15619" width="15.5703125" style="2" customWidth="1"/>
    <col min="15620" max="15620" width="15.7109375" style="2" customWidth="1"/>
    <col min="15621" max="15621" width="14.5703125" style="2" customWidth="1"/>
    <col min="15622" max="15622" width="15" style="2" customWidth="1"/>
    <col min="15623" max="15623" width="17.42578125" style="2" customWidth="1"/>
    <col min="15624" max="15872" width="9" style="2"/>
    <col min="15873" max="15873" width="3.5703125" style="2" customWidth="1"/>
    <col min="15874" max="15874" width="53.42578125" style="2" customWidth="1"/>
    <col min="15875" max="15875" width="15.5703125" style="2" customWidth="1"/>
    <col min="15876" max="15876" width="15.7109375" style="2" customWidth="1"/>
    <col min="15877" max="15877" width="14.5703125" style="2" customWidth="1"/>
    <col min="15878" max="15878" width="15" style="2" customWidth="1"/>
    <col min="15879" max="15879" width="17.42578125" style="2" customWidth="1"/>
    <col min="15880" max="16128" width="9" style="2"/>
    <col min="16129" max="16129" width="3.5703125" style="2" customWidth="1"/>
    <col min="16130" max="16130" width="53.42578125" style="2" customWidth="1"/>
    <col min="16131" max="16131" width="15.5703125" style="2" customWidth="1"/>
    <col min="16132" max="16132" width="15.7109375" style="2" customWidth="1"/>
    <col min="16133" max="16133" width="14.5703125" style="2" customWidth="1"/>
    <col min="16134" max="16134" width="15" style="2" customWidth="1"/>
    <col min="16135" max="16135" width="17.42578125" style="2" customWidth="1"/>
    <col min="16136" max="16384" width="9" style="2"/>
  </cols>
  <sheetData>
    <row r="1" spans="1:7" ht="15.75">
      <c r="A1" s="1" t="s">
        <v>0</v>
      </c>
    </row>
    <row r="2" spans="1:7">
      <c r="B2" s="2" t="s">
        <v>1</v>
      </c>
    </row>
    <row r="3" spans="1:7">
      <c r="B3" s="2" t="s">
        <v>2</v>
      </c>
    </row>
    <row r="4" spans="1:7">
      <c r="B4" s="3" t="s">
        <v>3</v>
      </c>
    </row>
    <row r="5" spans="1:7">
      <c r="B5" s="3"/>
    </row>
    <row r="6" spans="1:7" ht="16.5" thickBot="1">
      <c r="A6" s="4"/>
      <c r="B6" s="5"/>
      <c r="C6" s="6" t="s">
        <v>4</v>
      </c>
      <c r="D6" s="5"/>
      <c r="E6" s="5"/>
      <c r="F6" s="5"/>
    </row>
    <row r="7" spans="1:7">
      <c r="A7" s="7" t="s">
        <v>5</v>
      </c>
      <c r="B7" s="8"/>
      <c r="C7" s="9"/>
      <c r="D7" s="9"/>
      <c r="E7" s="9"/>
      <c r="F7" s="10"/>
      <c r="G7" s="11"/>
    </row>
    <row r="8" spans="1:7" ht="13.5" thickBot="1">
      <c r="A8" s="12"/>
      <c r="B8" s="13" t="s">
        <v>6</v>
      </c>
      <c r="C8" s="14" t="s">
        <v>7</v>
      </c>
      <c r="D8" s="14" t="s">
        <v>8</v>
      </c>
      <c r="E8" s="14" t="s">
        <v>9</v>
      </c>
      <c r="F8" s="15" t="s">
        <v>10</v>
      </c>
      <c r="G8" s="16"/>
    </row>
    <row r="9" spans="1:7">
      <c r="A9" s="17" t="s">
        <v>11</v>
      </c>
      <c r="B9" s="18"/>
      <c r="C9" s="19"/>
      <c r="D9" s="19"/>
      <c r="E9" s="19"/>
      <c r="F9" s="20"/>
      <c r="G9" s="11"/>
    </row>
    <row r="10" spans="1:7" ht="15">
      <c r="A10" s="21"/>
      <c r="B10" s="22" t="s">
        <v>12</v>
      </c>
      <c r="C10" s="23"/>
      <c r="D10" s="23"/>
      <c r="E10" s="23"/>
      <c r="F10" s="24"/>
      <c r="G10" s="11"/>
    </row>
    <row r="11" spans="1:7" ht="15">
      <c r="A11" s="21"/>
      <c r="B11" s="22" t="s">
        <v>13</v>
      </c>
      <c r="C11" s="23"/>
      <c r="D11" s="23">
        <v>954735.22</v>
      </c>
      <c r="E11" s="23"/>
      <c r="F11" s="24">
        <f>SUM(C11:E11)</f>
        <v>954735.22</v>
      </c>
      <c r="G11" s="11"/>
    </row>
    <row r="12" spans="1:7" ht="15">
      <c r="A12" s="21"/>
      <c r="B12" s="22" t="s">
        <v>14</v>
      </c>
      <c r="C12" s="23"/>
      <c r="D12" s="23"/>
      <c r="E12" s="23"/>
      <c r="F12" s="24">
        <f>SUM(C12:E12)</f>
        <v>0</v>
      </c>
      <c r="G12" s="11"/>
    </row>
    <row r="13" spans="1:7" ht="15">
      <c r="A13" s="21"/>
      <c r="B13" s="22" t="s">
        <v>15</v>
      </c>
      <c r="C13" s="23">
        <f>59400+19800+9900+5280+25638</f>
        <v>120018</v>
      </c>
      <c r="D13" s="23">
        <f>18000+2500+6500+30000+40000+54000+7000+4000</f>
        <v>162000</v>
      </c>
      <c r="E13" s="23">
        <v>17982</v>
      </c>
      <c r="F13" s="24">
        <f>SUM(C13:E13)</f>
        <v>300000</v>
      </c>
      <c r="G13" s="11"/>
    </row>
    <row r="14" spans="1:7" ht="15">
      <c r="A14" s="21"/>
      <c r="B14" s="22" t="s">
        <v>16</v>
      </c>
      <c r="C14" s="25">
        <v>300000</v>
      </c>
      <c r="D14" s="23">
        <f>430000+70000+1181198.71+3658639.49</f>
        <v>5339838.2</v>
      </c>
      <c r="E14" s="23">
        <v>200000</v>
      </c>
      <c r="F14" s="24">
        <f>SUM(C14:E14)</f>
        <v>5839838.2000000002</v>
      </c>
      <c r="G14" s="11"/>
    </row>
    <row r="15" spans="1:7" ht="15.75" thickBot="1">
      <c r="A15" s="21"/>
      <c r="B15" s="22" t="s">
        <v>17</v>
      </c>
      <c r="C15" s="26"/>
      <c r="D15" s="26">
        <f>2440703.79+2271750+627390</f>
        <v>5339843.79</v>
      </c>
      <c r="E15" s="26"/>
      <c r="F15" s="27">
        <f>SUM(C15:E15)</f>
        <v>5339843.79</v>
      </c>
      <c r="G15" s="11"/>
    </row>
    <row r="16" spans="1:7" ht="15.75" thickBot="1">
      <c r="A16" s="21"/>
      <c r="B16" s="22" t="s">
        <v>18</v>
      </c>
      <c r="C16" s="28">
        <f>SUM(C10:C15)</f>
        <v>420018</v>
      </c>
      <c r="D16" s="28">
        <f>SUM(D10:D15)</f>
        <v>11796417.210000001</v>
      </c>
      <c r="E16" s="28">
        <f>SUM(E10:E15)</f>
        <v>217982</v>
      </c>
      <c r="F16" s="29">
        <f>SUM(F10:F15)</f>
        <v>12434417.210000001</v>
      </c>
      <c r="G16" s="11"/>
    </row>
    <row r="17" spans="1:7" ht="15">
      <c r="A17" s="30" t="s">
        <v>19</v>
      </c>
      <c r="B17" s="22"/>
      <c r="C17" s="31"/>
      <c r="D17" s="31"/>
      <c r="E17" s="31"/>
      <c r="F17" s="32"/>
      <c r="G17" s="11"/>
    </row>
    <row r="18" spans="1:7" ht="15">
      <c r="A18" s="30"/>
      <c r="B18" s="22"/>
      <c r="C18" s="23"/>
      <c r="D18" s="23"/>
      <c r="E18" s="23"/>
      <c r="F18" s="32"/>
      <c r="G18" s="11"/>
    </row>
    <row r="19" spans="1:7" ht="15">
      <c r="A19" s="21"/>
      <c r="B19" s="33" t="s">
        <v>20</v>
      </c>
      <c r="C19" s="23">
        <v>30000</v>
      </c>
      <c r="D19" s="23">
        <v>298000</v>
      </c>
      <c r="E19" s="23"/>
      <c r="F19" s="32">
        <f t="shared" ref="F19:F30" si="0">SUM(C19:E19)</f>
        <v>328000</v>
      </c>
      <c r="G19" s="11"/>
    </row>
    <row r="20" spans="1:7" ht="15">
      <c r="A20" s="21"/>
      <c r="B20" s="22" t="s">
        <v>21</v>
      </c>
      <c r="C20" s="23"/>
      <c r="D20" s="23">
        <v>5000</v>
      </c>
      <c r="E20" s="23"/>
      <c r="F20" s="24">
        <f>SUM(C20:E20)</f>
        <v>5000</v>
      </c>
      <c r="G20" s="11"/>
    </row>
    <row r="21" spans="1:7" ht="15">
      <c r="A21" s="21"/>
      <c r="B21" s="22" t="s">
        <v>22</v>
      </c>
      <c r="C21" s="23"/>
      <c r="D21" s="23">
        <f>2700+12000+1000+26000.94+22286.51</f>
        <v>63987.45</v>
      </c>
      <c r="E21" s="23"/>
      <c r="F21" s="24">
        <f>SUM(C21:E21)</f>
        <v>63987.45</v>
      </c>
      <c r="G21" s="11"/>
    </row>
    <row r="22" spans="1:7" ht="15">
      <c r="A22" s="21"/>
      <c r="B22" s="22" t="s">
        <v>23</v>
      </c>
      <c r="C22" s="23">
        <f>445624</f>
        <v>445624</v>
      </c>
      <c r="D22" s="23">
        <f>1851000+582652.13</f>
        <v>2433652.13</v>
      </c>
      <c r="E22" s="23"/>
      <c r="F22" s="24">
        <f>SUM(C22:E22)</f>
        <v>2879276.13</v>
      </c>
      <c r="G22" s="11"/>
    </row>
    <row r="23" spans="1:7" ht="15">
      <c r="A23" s="21"/>
      <c r="B23" s="33" t="s">
        <v>24</v>
      </c>
      <c r="C23" s="23">
        <f>306400+157007.5+48400</f>
        <v>511807.5</v>
      </c>
      <c r="D23" s="23">
        <f>148500+269919.58+126500+76500+20000+20000+80000+50000+161186.91</f>
        <v>952606.49000000011</v>
      </c>
      <c r="E23" s="23">
        <v>50000</v>
      </c>
      <c r="F23" s="32">
        <f t="shared" si="0"/>
        <v>1514413.9900000002</v>
      </c>
      <c r="G23" s="11"/>
    </row>
    <row r="24" spans="1:7" ht="15">
      <c r="A24" s="21"/>
      <c r="B24" s="33" t="s">
        <v>25</v>
      </c>
      <c r="C24" s="23">
        <f>911436+40000+40530+54890.4+8280+8400+71603+28000</f>
        <v>1163139.3999999999</v>
      </c>
      <c r="D24" s="23">
        <f>174100+150000+116500+150000+20000+20000+80000+50000+783964.57</f>
        <v>1544564.5699999998</v>
      </c>
      <c r="E24" s="23">
        <v>50000</v>
      </c>
      <c r="F24" s="32">
        <f t="shared" si="0"/>
        <v>2757703.9699999997</v>
      </c>
      <c r="G24" s="11"/>
    </row>
    <row r="25" spans="1:7" ht="15">
      <c r="A25" s="21"/>
      <c r="B25" s="22" t="s">
        <v>26</v>
      </c>
      <c r="C25" s="23">
        <f>150000+12000</f>
        <v>162000</v>
      </c>
      <c r="D25" s="23">
        <f>18801.59+5000+2214.38</f>
        <v>26015.97</v>
      </c>
      <c r="E25" s="23"/>
      <c r="F25" s="32">
        <f t="shared" si="0"/>
        <v>188015.97</v>
      </c>
      <c r="G25" s="11"/>
    </row>
    <row r="26" spans="1:7" ht="15">
      <c r="A26" s="21"/>
      <c r="B26" s="22" t="s">
        <v>27</v>
      </c>
      <c r="C26" s="23">
        <f>108900+45036.92</f>
        <v>153936.91999999998</v>
      </c>
      <c r="D26" s="23">
        <f>38400+106128+120000</f>
        <v>264528</v>
      </c>
      <c r="E26" s="23">
        <f>85535.08</f>
        <v>85535.08</v>
      </c>
      <c r="F26" s="32">
        <f t="shared" si="0"/>
        <v>504000</v>
      </c>
      <c r="G26" s="11"/>
    </row>
    <row r="27" spans="1:7" ht="15">
      <c r="A27" s="21"/>
      <c r="B27" s="22" t="s">
        <v>28</v>
      </c>
      <c r="C27" s="23"/>
      <c r="D27" s="23">
        <v>165000</v>
      </c>
      <c r="E27" s="23"/>
      <c r="F27" s="32">
        <f t="shared" si="0"/>
        <v>165000</v>
      </c>
      <c r="G27" s="11"/>
    </row>
    <row r="28" spans="1:7" ht="15">
      <c r="A28" s="21"/>
      <c r="B28" s="33" t="s">
        <v>29</v>
      </c>
      <c r="C28" s="23">
        <f>408000+88000+5000+8800+2500+12500+4000</f>
        <v>528800</v>
      </c>
      <c r="D28" s="25">
        <f>20000+10000+21000+50000+67500+15000+5000+10000</f>
        <v>198500</v>
      </c>
      <c r="E28" s="23">
        <v>50000</v>
      </c>
      <c r="F28" s="32">
        <f t="shared" si="0"/>
        <v>777300</v>
      </c>
      <c r="G28" s="11"/>
    </row>
    <row r="29" spans="1:7" ht="15">
      <c r="A29" s="21"/>
      <c r="B29" s="33" t="s">
        <v>30</v>
      </c>
      <c r="C29" s="23">
        <f>55000+31000</f>
        <v>86000</v>
      </c>
      <c r="D29" s="23">
        <f>250000+3800+5000+5000+50000</f>
        <v>313800</v>
      </c>
      <c r="E29" s="23">
        <v>80300</v>
      </c>
      <c r="F29" s="32">
        <f t="shared" si="0"/>
        <v>480100</v>
      </c>
      <c r="G29" s="11"/>
    </row>
    <row r="30" spans="1:7" ht="15">
      <c r="A30" s="21"/>
      <c r="B30" s="33" t="s">
        <v>31</v>
      </c>
      <c r="C30" s="23">
        <f>99000+35000+182000</f>
        <v>316000</v>
      </c>
      <c r="D30" s="23">
        <f>65000+10000+85260+109800+20000+20000+10000+401625+2790+2250+40000+10000+20000+20000+26335</f>
        <v>843060</v>
      </c>
      <c r="E30" s="23">
        <f>25940+35000</f>
        <v>60940</v>
      </c>
      <c r="F30" s="32">
        <f t="shared" si="0"/>
        <v>1220000</v>
      </c>
      <c r="G30" s="11"/>
    </row>
    <row r="31" spans="1:7" ht="15">
      <c r="A31" s="21"/>
      <c r="B31" s="33" t="s">
        <v>32</v>
      </c>
      <c r="C31" s="23"/>
      <c r="D31" s="23">
        <f>110000+100000+500000+55000</f>
        <v>765000</v>
      </c>
      <c r="E31" s="23">
        <v>460000</v>
      </c>
      <c r="F31" s="24">
        <f>SUM(C31:E31)</f>
        <v>1225000</v>
      </c>
      <c r="G31" s="11"/>
    </row>
    <row r="32" spans="1:7" ht="15">
      <c r="A32" s="21"/>
      <c r="B32" s="22" t="s">
        <v>33</v>
      </c>
      <c r="C32" s="23"/>
      <c r="D32" s="23">
        <v>304109.7</v>
      </c>
      <c r="E32" s="23"/>
      <c r="F32" s="24">
        <f>SUM(C32:E32)</f>
        <v>304109.7</v>
      </c>
      <c r="G32" s="11"/>
    </row>
    <row r="33" spans="1:7" ht="15">
      <c r="A33" s="21"/>
      <c r="B33" s="22" t="s">
        <v>34</v>
      </c>
      <c r="C33" s="23"/>
      <c r="D33" s="23">
        <v>43236.47</v>
      </c>
      <c r="E33" s="23"/>
      <c r="F33" s="24">
        <f>SUM(C33:E33)</f>
        <v>43236.47</v>
      </c>
      <c r="G33" s="11"/>
    </row>
    <row r="34" spans="1:7" ht="15">
      <c r="A34" s="21"/>
      <c r="B34" s="22" t="s">
        <v>35</v>
      </c>
      <c r="C34" s="23"/>
      <c r="D34" s="23">
        <v>3672859.94</v>
      </c>
      <c r="E34" s="23"/>
      <c r="F34" s="24">
        <f>SUM(C34:E34)</f>
        <v>3672859.94</v>
      </c>
      <c r="G34" s="11"/>
    </row>
    <row r="35" spans="1:7" ht="15">
      <c r="A35" s="21"/>
      <c r="B35" s="34" t="s">
        <v>36</v>
      </c>
      <c r="C35" s="26"/>
      <c r="D35" s="26">
        <v>1068265.29</v>
      </c>
      <c r="E35" s="26"/>
      <c r="F35" s="24">
        <f>SUM(C35:E35)</f>
        <v>1068265.29</v>
      </c>
      <c r="G35" s="11"/>
    </row>
    <row r="36" spans="1:7" ht="15">
      <c r="A36" s="21"/>
      <c r="B36" s="35" t="s">
        <v>37</v>
      </c>
      <c r="C36" s="23"/>
      <c r="D36" s="23">
        <v>2021175.25</v>
      </c>
      <c r="E36" s="23"/>
      <c r="F36" s="23">
        <f t="shared" ref="F36:F53" si="1">SUM(C36:E36)</f>
        <v>2021175.25</v>
      </c>
      <c r="G36" s="11"/>
    </row>
    <row r="37" spans="1:7" ht="15">
      <c r="A37" s="21"/>
      <c r="B37" s="35" t="s">
        <v>38</v>
      </c>
      <c r="C37" s="23"/>
      <c r="D37" s="23">
        <v>37947</v>
      </c>
      <c r="E37" s="23"/>
      <c r="F37" s="23">
        <f t="shared" si="1"/>
        <v>37947</v>
      </c>
      <c r="G37" s="11"/>
    </row>
    <row r="38" spans="1:7" ht="15">
      <c r="A38" s="21"/>
      <c r="B38" s="35" t="s">
        <v>39</v>
      </c>
      <c r="C38" s="23"/>
      <c r="D38" s="23">
        <v>486776</v>
      </c>
      <c r="E38" s="23"/>
      <c r="F38" s="23">
        <f t="shared" si="1"/>
        <v>486776</v>
      </c>
      <c r="G38" s="11"/>
    </row>
    <row r="39" spans="1:7" ht="15">
      <c r="A39" s="21"/>
      <c r="B39" s="35" t="s">
        <v>40</v>
      </c>
      <c r="C39" s="23"/>
      <c r="D39" s="23">
        <v>138339.42000000001</v>
      </c>
      <c r="E39" s="23"/>
      <c r="F39" s="23">
        <f t="shared" si="1"/>
        <v>138339.42000000001</v>
      </c>
      <c r="G39" s="11"/>
    </row>
    <row r="40" spans="1:7" ht="15">
      <c r="A40" s="21"/>
      <c r="B40" s="35" t="s">
        <v>41</v>
      </c>
      <c r="C40" s="23"/>
      <c r="D40" s="23">
        <v>39607</v>
      </c>
      <c r="E40" s="23"/>
      <c r="F40" s="23">
        <f t="shared" si="1"/>
        <v>39607</v>
      </c>
      <c r="G40" s="11"/>
    </row>
    <row r="41" spans="1:7" ht="15">
      <c r="A41" s="21"/>
      <c r="B41" s="35" t="s">
        <v>42</v>
      </c>
      <c r="C41" s="23"/>
      <c r="D41" s="23">
        <v>29930</v>
      </c>
      <c r="E41" s="23"/>
      <c r="F41" s="23">
        <f t="shared" si="1"/>
        <v>29930</v>
      </c>
      <c r="G41" s="11"/>
    </row>
    <row r="42" spans="1:7" ht="15">
      <c r="A42" s="21"/>
      <c r="B42" s="35" t="s">
        <v>43</v>
      </c>
      <c r="C42" s="23"/>
      <c r="D42" s="23">
        <v>484692.94</v>
      </c>
      <c r="E42" s="23"/>
      <c r="F42" s="23">
        <f t="shared" si="1"/>
        <v>484692.94</v>
      </c>
      <c r="G42" s="11"/>
    </row>
    <row r="43" spans="1:7" ht="15">
      <c r="A43" s="21"/>
      <c r="B43" s="35" t="s">
        <v>44</v>
      </c>
      <c r="C43" s="23"/>
      <c r="D43" s="23">
        <v>31654</v>
      </c>
      <c r="E43" s="23"/>
      <c r="F43" s="23">
        <f t="shared" si="1"/>
        <v>31654</v>
      </c>
      <c r="G43" s="11"/>
    </row>
    <row r="44" spans="1:7" ht="15">
      <c r="A44" s="21"/>
      <c r="B44" s="35" t="s">
        <v>45</v>
      </c>
      <c r="C44" s="23"/>
      <c r="D44" s="23">
        <v>44704</v>
      </c>
      <c r="E44" s="23"/>
      <c r="F44" s="23">
        <f t="shared" si="1"/>
        <v>44704</v>
      </c>
      <c r="G44" s="11"/>
    </row>
    <row r="45" spans="1:7" ht="15">
      <c r="A45" s="21"/>
      <c r="B45" s="35" t="s">
        <v>46</v>
      </c>
      <c r="C45" s="23"/>
      <c r="D45" s="23">
        <v>26323.84</v>
      </c>
      <c r="E45" s="23"/>
      <c r="F45" s="23">
        <f t="shared" si="1"/>
        <v>26323.84</v>
      </c>
      <c r="G45" s="11"/>
    </row>
    <row r="46" spans="1:7" ht="15">
      <c r="A46" s="21"/>
      <c r="B46" s="35" t="s">
        <v>47</v>
      </c>
      <c r="C46" s="23"/>
      <c r="D46" s="23">
        <v>1261943.33</v>
      </c>
      <c r="E46" s="23"/>
      <c r="F46" s="23">
        <f t="shared" si="1"/>
        <v>1261943.33</v>
      </c>
      <c r="G46" s="11"/>
    </row>
    <row r="47" spans="1:7" ht="15">
      <c r="A47" s="21"/>
      <c r="B47" s="35" t="s">
        <v>48</v>
      </c>
      <c r="C47" s="23"/>
      <c r="D47" s="23">
        <v>78782.179999999993</v>
      </c>
      <c r="E47" s="23"/>
      <c r="F47" s="23">
        <f t="shared" si="1"/>
        <v>78782.179999999993</v>
      </c>
      <c r="G47" s="11"/>
    </row>
    <row r="48" spans="1:7" ht="15">
      <c r="A48" s="21"/>
      <c r="B48" s="35" t="s">
        <v>49</v>
      </c>
      <c r="C48" s="23"/>
      <c r="D48" s="23">
        <v>127854.35</v>
      </c>
      <c r="E48" s="23"/>
      <c r="F48" s="23">
        <f t="shared" si="1"/>
        <v>127854.35</v>
      </c>
      <c r="G48" s="11"/>
    </row>
    <row r="49" spans="1:7" ht="15">
      <c r="A49" s="21"/>
      <c r="B49" s="35" t="s">
        <v>50</v>
      </c>
      <c r="C49" s="23"/>
      <c r="D49" s="23">
        <v>61845.08</v>
      </c>
      <c r="E49" s="23"/>
      <c r="F49" s="23">
        <f t="shared" si="1"/>
        <v>61845.08</v>
      </c>
      <c r="G49" s="11"/>
    </row>
    <row r="50" spans="1:7" ht="15">
      <c r="A50" s="21"/>
      <c r="B50" s="35" t="s">
        <v>51</v>
      </c>
      <c r="C50" s="23"/>
      <c r="D50" s="23">
        <v>4327631.99</v>
      </c>
      <c r="E50" s="23"/>
      <c r="F50" s="23">
        <f t="shared" si="1"/>
        <v>4327631.99</v>
      </c>
      <c r="G50" s="11"/>
    </row>
    <row r="51" spans="1:7" ht="15">
      <c r="A51" s="21"/>
      <c r="B51" s="35" t="s">
        <v>52</v>
      </c>
      <c r="C51" s="23"/>
      <c r="D51" s="23">
        <v>167820.25</v>
      </c>
      <c r="E51" s="23"/>
      <c r="F51" s="23">
        <f t="shared" si="1"/>
        <v>167820.25</v>
      </c>
      <c r="G51" s="11"/>
    </row>
    <row r="52" spans="1:7" ht="15">
      <c r="A52" s="21"/>
      <c r="B52" s="35" t="s">
        <v>53</v>
      </c>
      <c r="C52" s="23">
        <f>SUM(C19:C51)</f>
        <v>3397307.82</v>
      </c>
      <c r="D52" s="23">
        <v>442360.83</v>
      </c>
      <c r="E52" s="23"/>
      <c r="F52" s="23">
        <f t="shared" si="1"/>
        <v>3839668.65</v>
      </c>
      <c r="G52" s="11"/>
    </row>
    <row r="53" spans="1:7" ht="15.75" thickBot="1">
      <c r="A53" s="21"/>
      <c r="B53" s="36" t="s">
        <v>54</v>
      </c>
      <c r="C53" s="37"/>
      <c r="D53" s="37">
        <f>9000</f>
        <v>9000</v>
      </c>
      <c r="E53" s="37"/>
      <c r="F53" s="37">
        <f t="shared" si="1"/>
        <v>9000</v>
      </c>
      <c r="G53" s="11"/>
    </row>
    <row r="54" spans="1:7" ht="15.75" thickBot="1">
      <c r="A54" s="21"/>
      <c r="B54" s="38" t="s">
        <v>18</v>
      </c>
      <c r="C54" s="39">
        <f>SUM(C19:C53)</f>
        <v>6794615.6399999997</v>
      </c>
      <c r="D54" s="39">
        <f>SUM(D19:D53)</f>
        <v>22780573.469999999</v>
      </c>
      <c r="E54" s="39">
        <f>SUM(E19:E53)</f>
        <v>836775.08000000007</v>
      </c>
      <c r="F54" s="39">
        <f>SUM(F19:F53)</f>
        <v>30411964.190000005</v>
      </c>
      <c r="G54" s="11"/>
    </row>
    <row r="55" spans="1:7" ht="15.75" thickBot="1">
      <c r="A55" s="40"/>
      <c r="B55" s="41"/>
      <c r="C55" s="28"/>
      <c r="D55" s="28"/>
      <c r="E55" s="28"/>
      <c r="F55" s="29"/>
      <c r="G55" s="11"/>
    </row>
    <row r="56" spans="1:7" ht="13.5" thickBot="1">
      <c r="A56" s="12"/>
      <c r="B56" s="42" t="s">
        <v>55</v>
      </c>
      <c r="C56" s="43">
        <f>SUM(C54+C16)</f>
        <v>7214633.6399999997</v>
      </c>
      <c r="D56" s="43">
        <f>SUM(D54+D16)</f>
        <v>34576990.68</v>
      </c>
      <c r="E56" s="43">
        <f>SUM(E54+E16)</f>
        <v>1054757.08</v>
      </c>
      <c r="F56" s="44">
        <f>SUM(F54+F16)</f>
        <v>42846381.400000006</v>
      </c>
      <c r="G56" s="11"/>
    </row>
    <row r="57" spans="1:7" ht="15">
      <c r="A57" s="11"/>
      <c r="B57" s="45"/>
      <c r="C57" s="46"/>
      <c r="D57" s="46"/>
      <c r="E57" s="46"/>
      <c r="F57" s="46"/>
    </row>
    <row r="58" spans="1:7" ht="15">
      <c r="A58" s="11"/>
      <c r="B58" s="11"/>
      <c r="C58" s="46"/>
      <c r="D58" s="46"/>
      <c r="E58" s="46"/>
      <c r="F58" s="46"/>
    </row>
    <row r="59" spans="1:7" ht="15">
      <c r="A59" s="11"/>
      <c r="B59" s="11"/>
      <c r="C59" s="47" t="s">
        <v>56</v>
      </c>
      <c r="D59" s="46"/>
      <c r="E59" s="46"/>
      <c r="F59" s="46"/>
    </row>
    <row r="60" spans="1:7" ht="13.5" thickBot="1">
      <c r="A60" s="4"/>
      <c r="B60" s="5"/>
      <c r="C60" s="5"/>
      <c r="D60" s="5"/>
      <c r="E60" s="5"/>
      <c r="F60" s="5"/>
    </row>
    <row r="61" spans="1:7" ht="15">
      <c r="A61" s="48"/>
      <c r="B61" s="49" t="s">
        <v>12</v>
      </c>
      <c r="C61" s="50"/>
      <c r="D61" s="50"/>
      <c r="E61" s="50"/>
      <c r="F61" s="51"/>
      <c r="G61" s="11"/>
    </row>
    <row r="62" spans="1:7" ht="15">
      <c r="A62" s="52"/>
      <c r="B62" s="53" t="s">
        <v>13</v>
      </c>
      <c r="C62" s="23"/>
      <c r="D62" s="23">
        <f>1000+85455+8360</f>
        <v>94815</v>
      </c>
      <c r="E62" s="23"/>
      <c r="F62" s="24">
        <f>SUM(C62:E62)</f>
        <v>94815</v>
      </c>
      <c r="G62" s="11"/>
    </row>
    <row r="63" spans="1:7" ht="15">
      <c r="A63" s="52"/>
      <c r="B63" s="53" t="s">
        <v>14</v>
      </c>
      <c r="C63" s="23"/>
      <c r="D63" s="23"/>
      <c r="E63" s="23"/>
      <c r="F63" s="24"/>
      <c r="G63" s="11"/>
    </row>
    <row r="64" spans="1:7" ht="15">
      <c r="A64" s="52"/>
      <c r="B64" s="53" t="s">
        <v>15</v>
      </c>
      <c r="C64" s="23"/>
      <c r="D64" s="23">
        <f>2442.6</f>
        <v>2442.6</v>
      </c>
      <c r="E64" s="23"/>
      <c r="F64" s="24">
        <f>SUM(C64:E64)</f>
        <v>2442.6</v>
      </c>
      <c r="G64" s="11"/>
    </row>
    <row r="65" spans="1:7" ht="15">
      <c r="A65" s="52"/>
      <c r="B65" s="53" t="s">
        <v>16</v>
      </c>
      <c r="C65" s="23">
        <f>233742.1+31821.6+333627.6+14556+19176+88120+9936+294298.01+19872+208040+4620+26250</f>
        <v>1284059.31</v>
      </c>
      <c r="D65" s="23">
        <f>1103173.92+93874.48+710195.26+44920+62181+205445.35+9000+127354.94+397611.14</f>
        <v>2753756.09</v>
      </c>
      <c r="E65" s="23">
        <f>266850+58650</f>
        <v>325500</v>
      </c>
      <c r="F65" s="24">
        <f>SUM(C65:E65)</f>
        <v>4363315.4000000004</v>
      </c>
      <c r="G65" s="11"/>
    </row>
    <row r="66" spans="1:7" ht="15.75" thickBot="1">
      <c r="A66" s="52"/>
      <c r="B66" s="53" t="s">
        <v>17</v>
      </c>
      <c r="C66" s="23">
        <f>31285+83700</f>
        <v>114985</v>
      </c>
      <c r="D66" s="23">
        <f>3157520.33+104405.45+434113.48+73623.4+363283+73963.87</f>
        <v>4206909.53</v>
      </c>
      <c r="E66" s="23">
        <f>316670+75690+47900</f>
        <v>440260</v>
      </c>
      <c r="F66" s="24">
        <f>SUM(C66:E66)</f>
        <v>4762154.53</v>
      </c>
      <c r="G66" s="11"/>
    </row>
    <row r="67" spans="1:7" ht="15.75" thickBot="1">
      <c r="A67" s="35"/>
      <c r="B67" s="53" t="s">
        <v>18</v>
      </c>
      <c r="C67" s="28">
        <f>SUM(C61:C66)</f>
        <v>1399044.31</v>
      </c>
      <c r="D67" s="28">
        <f>SUM(D61:D66)</f>
        <v>7057923.2200000007</v>
      </c>
      <c r="E67" s="28">
        <f>SUM(E61:E66)</f>
        <v>765760</v>
      </c>
      <c r="F67" s="29">
        <f>SUM(F61:F66)</f>
        <v>9222727.5300000012</v>
      </c>
      <c r="G67" s="11"/>
    </row>
    <row r="68" spans="1:7" ht="15">
      <c r="A68" s="38"/>
      <c r="B68" s="35"/>
      <c r="C68" s="54"/>
      <c r="D68" s="54"/>
      <c r="E68" s="54"/>
      <c r="F68" s="55"/>
      <c r="G68" s="11"/>
    </row>
    <row r="69" spans="1:7">
      <c r="A69" s="56" t="s">
        <v>19</v>
      </c>
      <c r="B69" s="35"/>
      <c r="C69" s="31"/>
      <c r="D69" s="31"/>
      <c r="E69" s="31"/>
      <c r="F69" s="57"/>
      <c r="G69" s="11"/>
    </row>
    <row r="70" spans="1:7" ht="15">
      <c r="A70" s="56"/>
      <c r="B70" s="35"/>
      <c r="C70" s="23"/>
      <c r="D70" s="23"/>
      <c r="E70" s="23"/>
      <c r="F70" s="24"/>
      <c r="G70" s="11"/>
    </row>
    <row r="71" spans="1:7" ht="15">
      <c r="A71" s="22"/>
      <c r="B71" s="58" t="s">
        <v>20</v>
      </c>
      <c r="C71" s="25"/>
      <c r="D71" s="23"/>
      <c r="E71" s="23"/>
      <c r="F71" s="24">
        <f>SUM(C71:E71)</f>
        <v>0</v>
      </c>
      <c r="G71" s="11"/>
    </row>
    <row r="72" spans="1:7" ht="15">
      <c r="A72" s="22"/>
      <c r="B72" s="35" t="s">
        <v>21</v>
      </c>
      <c r="C72" s="23"/>
      <c r="E72" s="23"/>
      <c r="F72" s="24">
        <f t="shared" ref="F72:F105" si="2">SUM(C72:E72)</f>
        <v>0</v>
      </c>
      <c r="G72" s="11"/>
    </row>
    <row r="73" spans="1:7" ht="15">
      <c r="A73" s="22"/>
      <c r="B73" s="35" t="s">
        <v>22</v>
      </c>
      <c r="C73" s="23">
        <f>39585</f>
        <v>39585</v>
      </c>
      <c r="D73" s="23"/>
      <c r="E73" s="23"/>
      <c r="F73" s="24">
        <f t="shared" si="2"/>
        <v>39585</v>
      </c>
      <c r="G73" s="11"/>
    </row>
    <row r="74" spans="1:7" ht="15">
      <c r="A74" s="22"/>
      <c r="B74" s="35" t="s">
        <v>57</v>
      </c>
      <c r="C74" s="23">
        <f>159162.43+38574.56+46324.42+21450+21606.97+25220+25131.98+25035.83+7800</f>
        <v>370306.19</v>
      </c>
      <c r="D74" s="23">
        <f>1256177.72+161182.65+310499.86+224287.71+216381.4+185522.03</f>
        <v>2354051.3699999996</v>
      </c>
      <c r="E74" s="23"/>
      <c r="F74" s="24">
        <f>SUM(C74:E74)</f>
        <v>2724357.5599999996</v>
      </c>
      <c r="G74" s="11"/>
    </row>
    <row r="75" spans="1:7" ht="15">
      <c r="A75" s="22"/>
      <c r="B75" s="58" t="s">
        <v>24</v>
      </c>
      <c r="C75" s="23"/>
      <c r="D75" s="23"/>
      <c r="E75" s="23"/>
      <c r="F75" s="24">
        <f t="shared" si="2"/>
        <v>0</v>
      </c>
      <c r="G75" s="11"/>
    </row>
    <row r="76" spans="1:7" ht="15">
      <c r="A76" s="22"/>
      <c r="B76" s="58" t="s">
        <v>25</v>
      </c>
      <c r="C76" s="23">
        <f>1000+20013.54+78239+75914.3+121181.8+84644.5</f>
        <v>380993.14</v>
      </c>
      <c r="D76" s="23">
        <f>56631+400+20861+121400+10845</f>
        <v>210137</v>
      </c>
      <c r="E76" s="23"/>
      <c r="F76" s="24">
        <f t="shared" si="2"/>
        <v>591130.14</v>
      </c>
      <c r="G76" s="11"/>
    </row>
    <row r="77" spans="1:7" ht="15">
      <c r="A77" s="22"/>
      <c r="B77" s="35" t="s">
        <v>26</v>
      </c>
      <c r="C77" s="23">
        <f>119650</f>
        <v>119650</v>
      </c>
      <c r="D77" s="23"/>
      <c r="E77" s="23"/>
      <c r="F77" s="24">
        <f t="shared" si="2"/>
        <v>119650</v>
      </c>
      <c r="G77" s="11"/>
    </row>
    <row r="78" spans="1:7" ht="15">
      <c r="A78" s="22"/>
      <c r="B78" s="22" t="s">
        <v>27</v>
      </c>
      <c r="C78" s="23">
        <f>146736.92</f>
        <v>146736.92000000001</v>
      </c>
      <c r="D78" s="23">
        <f>120000+42000</f>
        <v>162000</v>
      </c>
      <c r="E78" s="23"/>
      <c r="F78" s="24">
        <f t="shared" si="2"/>
        <v>308736.92000000004</v>
      </c>
      <c r="G78" s="11"/>
    </row>
    <row r="79" spans="1:7" ht="15">
      <c r="A79" s="22"/>
      <c r="B79" s="22" t="s">
        <v>28</v>
      </c>
      <c r="C79" s="23">
        <f>107250</f>
        <v>107250</v>
      </c>
      <c r="D79" s="23">
        <f>2595+21978.5</f>
        <v>24573.5</v>
      </c>
      <c r="E79" s="23"/>
      <c r="F79" s="24">
        <f t="shared" si="2"/>
        <v>131823.5</v>
      </c>
      <c r="G79" s="11"/>
    </row>
    <row r="80" spans="1:7" ht="15">
      <c r="A80" s="22"/>
      <c r="B80" s="33" t="s">
        <v>29</v>
      </c>
      <c r="C80" s="23">
        <f>9600+22400+36666.67+7000</f>
        <v>75666.67</v>
      </c>
      <c r="D80" s="23">
        <f>2298+11100+3099.59+6579.99+61857.49</f>
        <v>84935.07</v>
      </c>
      <c r="E80" s="23">
        <f>76710.12</f>
        <v>76710.12</v>
      </c>
      <c r="F80" s="24">
        <f t="shared" si="2"/>
        <v>237311.86</v>
      </c>
      <c r="G80" s="11"/>
    </row>
    <row r="81" spans="1:7" ht="15">
      <c r="A81" s="22"/>
      <c r="B81" s="33" t="s">
        <v>30</v>
      </c>
      <c r="C81" s="23"/>
      <c r="D81" s="23">
        <f>1000</f>
        <v>1000</v>
      </c>
      <c r="E81" s="23"/>
      <c r="F81" s="24">
        <f t="shared" si="2"/>
        <v>1000</v>
      </c>
      <c r="G81" s="11"/>
    </row>
    <row r="82" spans="1:7" ht="15">
      <c r="A82" s="22"/>
      <c r="B82" s="33" t="s">
        <v>31</v>
      </c>
      <c r="C82" s="23">
        <f>126800+109117.22+23000+11725+116195.43+13000+16500+31500</f>
        <v>447837.64999999997</v>
      </c>
      <c r="D82" s="23">
        <f>255825.39+4175.5+65910+10480+113226.35</f>
        <v>449617.24</v>
      </c>
      <c r="E82" s="23"/>
      <c r="F82" s="24">
        <f t="shared" si="2"/>
        <v>897454.8899999999</v>
      </c>
      <c r="G82" s="11"/>
    </row>
    <row r="83" spans="1:7" ht="15">
      <c r="A83" s="22"/>
      <c r="B83" s="33" t="s">
        <v>32</v>
      </c>
      <c r="C83" s="23"/>
      <c r="D83" s="25">
        <f>27596.5</f>
        <v>27596.5</v>
      </c>
      <c r="E83" s="23"/>
      <c r="F83" s="24">
        <f t="shared" si="2"/>
        <v>27596.5</v>
      </c>
      <c r="G83" s="11"/>
    </row>
    <row r="84" spans="1:7" ht="15">
      <c r="A84" s="22"/>
      <c r="B84" s="22" t="s">
        <v>33</v>
      </c>
      <c r="C84" s="23"/>
      <c r="D84" s="25">
        <f>4902+4558</f>
        <v>9460</v>
      </c>
      <c r="E84" s="23"/>
      <c r="F84" s="24">
        <f t="shared" si="2"/>
        <v>9460</v>
      </c>
      <c r="G84" s="11"/>
    </row>
    <row r="85" spans="1:7" ht="15">
      <c r="A85" s="22"/>
      <c r="B85" s="22" t="s">
        <v>34</v>
      </c>
      <c r="C85" s="23">
        <f>5175+5625</f>
        <v>10800</v>
      </c>
      <c r="D85" s="25">
        <f>12417+12200</f>
        <v>24617</v>
      </c>
      <c r="E85" s="23"/>
      <c r="F85" s="24">
        <f t="shared" si="2"/>
        <v>35417</v>
      </c>
      <c r="G85" s="11"/>
    </row>
    <row r="86" spans="1:7" ht="15">
      <c r="A86" s="22"/>
      <c r="B86" s="22" t="s">
        <v>35</v>
      </c>
      <c r="C86" s="23">
        <f>59400+77551+77551</f>
        <v>214502</v>
      </c>
      <c r="D86" s="25">
        <f>9209.5+257730.75+209369+245075.86</f>
        <v>721385.11</v>
      </c>
      <c r="E86" s="23">
        <f>90000+500000+125000</f>
        <v>715000</v>
      </c>
      <c r="F86" s="24">
        <f t="shared" si="2"/>
        <v>1650887.1099999999</v>
      </c>
      <c r="G86" s="11"/>
    </row>
    <row r="87" spans="1:7" ht="15">
      <c r="A87" s="22"/>
      <c r="B87" s="22" t="s">
        <v>58</v>
      </c>
      <c r="C87" s="23">
        <f>29140+24970+376000+14570+10000+33570+74136.67+9000</f>
        <v>571386.67000000004</v>
      </c>
      <c r="D87" s="25">
        <f>25084+9958.25+17719.78+31665</f>
        <v>84427.03</v>
      </c>
      <c r="E87" s="23"/>
      <c r="F87" s="24">
        <f t="shared" si="2"/>
        <v>655813.70000000007</v>
      </c>
      <c r="G87" s="11"/>
    </row>
    <row r="88" spans="1:7" ht="15">
      <c r="A88" s="22"/>
      <c r="B88" s="35" t="s">
        <v>37</v>
      </c>
      <c r="C88" s="23">
        <f>67987.5+63987.5+49820+39275</f>
        <v>221070</v>
      </c>
      <c r="D88" s="25">
        <f>172886.88+79769.77+797666.51</f>
        <v>1050323.1600000001</v>
      </c>
      <c r="E88" s="23"/>
      <c r="F88" s="24">
        <f t="shared" si="2"/>
        <v>1271393.1600000001</v>
      </c>
      <c r="G88" s="11"/>
    </row>
    <row r="89" spans="1:7" ht="15">
      <c r="A89" s="22"/>
      <c r="B89" s="35" t="s">
        <v>38</v>
      </c>
      <c r="C89" s="23"/>
      <c r="D89" s="25"/>
      <c r="E89" s="23"/>
      <c r="F89" s="24">
        <f t="shared" si="2"/>
        <v>0</v>
      </c>
      <c r="G89" s="11"/>
    </row>
    <row r="90" spans="1:7" ht="15">
      <c r="A90" s="22"/>
      <c r="B90" s="35" t="s">
        <v>39</v>
      </c>
      <c r="C90" s="23"/>
      <c r="D90" s="25">
        <f>22775</f>
        <v>22775</v>
      </c>
      <c r="E90" s="23"/>
      <c r="F90" s="24">
        <f t="shared" si="2"/>
        <v>22775</v>
      </c>
      <c r="G90" s="11"/>
    </row>
    <row r="91" spans="1:7" ht="15">
      <c r="A91" s="22"/>
      <c r="B91" s="35" t="s">
        <v>40</v>
      </c>
      <c r="C91" s="23"/>
      <c r="D91" s="25">
        <f>10069</f>
        <v>10069</v>
      </c>
      <c r="E91" s="23"/>
      <c r="F91" s="24">
        <f t="shared" si="2"/>
        <v>10069</v>
      </c>
      <c r="G91" s="11"/>
    </row>
    <row r="92" spans="1:7" ht="15">
      <c r="A92" s="22"/>
      <c r="B92" s="35" t="s">
        <v>41</v>
      </c>
      <c r="C92" s="23"/>
      <c r="D92" s="25"/>
      <c r="E92" s="23"/>
      <c r="F92" s="24">
        <f t="shared" si="2"/>
        <v>0</v>
      </c>
      <c r="G92" s="11"/>
    </row>
    <row r="93" spans="1:7" ht="15">
      <c r="A93" s="22"/>
      <c r="B93" s="35" t="s">
        <v>42</v>
      </c>
      <c r="C93" s="23"/>
      <c r="D93" s="25"/>
      <c r="E93" s="23"/>
      <c r="F93" s="24">
        <f t="shared" si="2"/>
        <v>0</v>
      </c>
      <c r="G93" s="11"/>
    </row>
    <row r="94" spans="1:7" ht="15">
      <c r="A94" s="22"/>
      <c r="B94" s="35" t="s">
        <v>43</v>
      </c>
      <c r="C94" s="23">
        <f>14570+14570</f>
        <v>29140</v>
      </c>
      <c r="D94" s="25">
        <f>27136.6+80758.86+31220.22</f>
        <v>139115.68</v>
      </c>
      <c r="E94" s="23"/>
      <c r="F94" s="24">
        <f t="shared" si="2"/>
        <v>168255.68</v>
      </c>
      <c r="G94" s="11"/>
    </row>
    <row r="95" spans="1:7" ht="15">
      <c r="A95" s="22"/>
      <c r="B95" s="35" t="s">
        <v>44</v>
      </c>
      <c r="C95" s="23">
        <f>16500</f>
        <v>16500</v>
      </c>
      <c r="D95" s="25"/>
      <c r="E95" s="23"/>
      <c r="F95" s="24">
        <f t="shared" si="2"/>
        <v>16500</v>
      </c>
      <c r="G95" s="11"/>
    </row>
    <row r="96" spans="1:7" ht="15">
      <c r="A96" s="22"/>
      <c r="B96" s="35" t="s">
        <v>45</v>
      </c>
      <c r="C96" s="23"/>
      <c r="D96" s="25">
        <f>20090</f>
        <v>20090</v>
      </c>
      <c r="E96" s="23"/>
      <c r="F96" s="24">
        <f t="shared" si="2"/>
        <v>20090</v>
      </c>
      <c r="G96" s="11"/>
    </row>
    <row r="97" spans="1:7" ht="15">
      <c r="A97" s="22"/>
      <c r="B97" s="35" t="s">
        <v>46</v>
      </c>
      <c r="C97" s="23"/>
      <c r="D97" s="25">
        <v>29645</v>
      </c>
      <c r="E97" s="23"/>
      <c r="F97" s="24">
        <f t="shared" si="2"/>
        <v>29645</v>
      </c>
      <c r="G97" s="11"/>
    </row>
    <row r="98" spans="1:7" ht="15">
      <c r="A98" s="22"/>
      <c r="B98" s="35" t="s">
        <v>47</v>
      </c>
      <c r="C98" s="23">
        <f>44772+74044+174044</f>
        <v>292860</v>
      </c>
      <c r="D98" s="25">
        <f>119086.12</f>
        <v>119086.12</v>
      </c>
      <c r="E98" s="23"/>
      <c r="F98" s="24">
        <f t="shared" si="2"/>
        <v>411946.12</v>
      </c>
      <c r="G98" s="11"/>
    </row>
    <row r="99" spans="1:7" ht="15">
      <c r="A99" s="22"/>
      <c r="B99" s="35" t="s">
        <v>48</v>
      </c>
      <c r="C99" s="23"/>
      <c r="D99" s="25">
        <f>17500</f>
        <v>17500</v>
      </c>
      <c r="E99" s="23"/>
      <c r="F99" s="24">
        <f t="shared" si="2"/>
        <v>17500</v>
      </c>
      <c r="G99" s="11"/>
    </row>
    <row r="100" spans="1:7" ht="15">
      <c r="A100" s="22"/>
      <c r="B100" s="35" t="s">
        <v>49</v>
      </c>
      <c r="C100" s="23"/>
      <c r="D100" s="25"/>
      <c r="E100" s="23"/>
      <c r="F100" s="24">
        <f t="shared" si="2"/>
        <v>0</v>
      </c>
      <c r="G100" s="11"/>
    </row>
    <row r="101" spans="1:7" ht="15">
      <c r="A101" s="22"/>
      <c r="B101" s="35" t="s">
        <v>50</v>
      </c>
      <c r="C101" s="23"/>
      <c r="D101" s="25"/>
      <c r="E101" s="23"/>
      <c r="F101" s="24">
        <f t="shared" si="2"/>
        <v>0</v>
      </c>
      <c r="G101" s="11"/>
    </row>
    <row r="102" spans="1:7" ht="15">
      <c r="A102" s="22"/>
      <c r="B102" s="35" t="s">
        <v>51</v>
      </c>
      <c r="C102" s="23">
        <f>44577.2+140595.45+177409.2+68927+14570</f>
        <v>446078.85000000003</v>
      </c>
      <c r="D102" s="25">
        <f>459509.54+182232.94+260584.85+14570</f>
        <v>916897.33</v>
      </c>
      <c r="E102" s="23">
        <f>336200</f>
        <v>336200</v>
      </c>
      <c r="F102" s="24">
        <f t="shared" si="2"/>
        <v>1699176.18</v>
      </c>
      <c r="G102" s="11"/>
    </row>
    <row r="103" spans="1:7" ht="15">
      <c r="A103" s="22"/>
      <c r="B103" s="35" t="s">
        <v>52</v>
      </c>
      <c r="C103" s="23">
        <f>42750+9000+35750</f>
        <v>87500</v>
      </c>
      <c r="D103" s="25">
        <f>3503+67950+1595</f>
        <v>73048</v>
      </c>
      <c r="E103" s="23"/>
      <c r="F103" s="24">
        <f t="shared" si="2"/>
        <v>160548</v>
      </c>
      <c r="G103" s="11"/>
    </row>
    <row r="104" spans="1:7" ht="15">
      <c r="A104" s="22"/>
      <c r="B104" s="35" t="s">
        <v>53</v>
      </c>
      <c r="C104" s="59"/>
      <c r="D104" s="60">
        <f>12561</f>
        <v>12561</v>
      </c>
      <c r="E104" s="59"/>
      <c r="F104" s="24">
        <f t="shared" si="2"/>
        <v>12561</v>
      </c>
      <c r="G104" s="11"/>
    </row>
    <row r="105" spans="1:7" ht="15.75" thickBot="1">
      <c r="A105" s="22"/>
      <c r="B105" s="35" t="s">
        <v>54</v>
      </c>
      <c r="C105" s="37"/>
      <c r="D105" s="61">
        <f>4000+6560</f>
        <v>10560</v>
      </c>
      <c r="E105" s="37"/>
      <c r="F105" s="62">
        <f t="shared" si="2"/>
        <v>10560</v>
      </c>
      <c r="G105" s="11"/>
    </row>
    <row r="106" spans="1:7" ht="15.75" thickBot="1">
      <c r="A106" s="22"/>
      <c r="B106" s="35" t="s">
        <v>18</v>
      </c>
      <c r="C106" s="39">
        <f>SUM(C71:C105)</f>
        <v>3577863.09</v>
      </c>
      <c r="D106" s="39">
        <f>SUM(D71:D105)</f>
        <v>6575470.1099999994</v>
      </c>
      <c r="E106" s="39">
        <f>SUM(E71:E105)</f>
        <v>1127910.1200000001</v>
      </c>
      <c r="F106" s="39">
        <f>SUM(F71:F105)</f>
        <v>11281243.319999998</v>
      </c>
      <c r="G106" s="11"/>
    </row>
    <row r="107" spans="1:7" ht="15.75" thickBot="1">
      <c r="A107" s="22"/>
      <c r="B107" s="63"/>
      <c r="C107" s="28"/>
      <c r="D107" s="28"/>
      <c r="E107" s="64"/>
      <c r="F107" s="29"/>
      <c r="G107" s="11"/>
    </row>
    <row r="108" spans="1:7" ht="13.5" thickBot="1">
      <c r="A108" s="41"/>
      <c r="B108" s="65" t="s">
        <v>55</v>
      </c>
      <c r="C108" s="64">
        <f>SUM(C106+C67)</f>
        <v>4976907.4000000004</v>
      </c>
      <c r="D108" s="64">
        <f>SUM(D106+D67)</f>
        <v>13633393.33</v>
      </c>
      <c r="E108" s="64">
        <f>SUM(E106+E67)</f>
        <v>1893670.12</v>
      </c>
      <c r="F108" s="66">
        <f>SUM(F106+F67)</f>
        <v>20503970.850000001</v>
      </c>
      <c r="G108" s="11"/>
    </row>
    <row r="109" spans="1:7">
      <c r="A109" s="11"/>
      <c r="B109" s="11"/>
      <c r="C109" s="67"/>
      <c r="D109" s="67"/>
      <c r="E109" s="67"/>
      <c r="F109" s="67"/>
      <c r="G109" s="11"/>
    </row>
    <row r="110" spans="1:7">
      <c r="B110" s="3"/>
      <c r="C110" s="3" t="s">
        <v>59</v>
      </c>
    </row>
    <row r="111" spans="1:7" ht="13.5" thickBot="1">
      <c r="A111" s="4"/>
      <c r="B111" s="5"/>
      <c r="C111" s="5"/>
      <c r="D111" s="5"/>
      <c r="E111" s="5"/>
      <c r="F111" s="5"/>
    </row>
    <row r="112" spans="1:7" ht="15">
      <c r="A112" s="68"/>
      <c r="B112" s="69" t="s">
        <v>12</v>
      </c>
      <c r="C112" s="50"/>
      <c r="D112" s="50"/>
      <c r="E112" s="50"/>
      <c r="F112" s="51"/>
      <c r="G112" s="11"/>
    </row>
    <row r="113" spans="1:7" ht="15">
      <c r="A113" s="22"/>
      <c r="B113" s="35" t="s">
        <v>13</v>
      </c>
      <c r="C113" s="23">
        <f>C11-C62</f>
        <v>0</v>
      </c>
      <c r="D113" s="23">
        <f>D11-D62</f>
        <v>859920.22</v>
      </c>
      <c r="E113" s="23">
        <f>E11-E62</f>
        <v>0</v>
      </c>
      <c r="F113" s="24">
        <f>F11-F62</f>
        <v>859920.22</v>
      </c>
      <c r="G113" s="11"/>
    </row>
    <row r="114" spans="1:7" ht="15">
      <c r="A114" s="22"/>
      <c r="B114" s="35" t="s">
        <v>14</v>
      </c>
      <c r="C114" s="23"/>
      <c r="D114" s="23"/>
      <c r="E114" s="23"/>
      <c r="F114" s="24"/>
      <c r="G114" s="11"/>
    </row>
    <row r="115" spans="1:7" ht="15">
      <c r="A115" s="22"/>
      <c r="B115" s="35" t="s">
        <v>15</v>
      </c>
      <c r="C115" s="23">
        <f t="shared" ref="C115:E117" si="3">C13-C64</f>
        <v>120018</v>
      </c>
      <c r="D115" s="23">
        <f t="shared" si="3"/>
        <v>159557.4</v>
      </c>
      <c r="E115" s="23">
        <f t="shared" si="3"/>
        <v>17982</v>
      </c>
      <c r="F115" s="24">
        <f>SUM(C115:E115)</f>
        <v>297557.40000000002</v>
      </c>
      <c r="G115" s="11"/>
    </row>
    <row r="116" spans="1:7" ht="15">
      <c r="A116" s="22"/>
      <c r="B116" s="22" t="s">
        <v>16</v>
      </c>
      <c r="C116" s="23">
        <f t="shared" si="3"/>
        <v>-984059.31</v>
      </c>
      <c r="D116" s="23">
        <f t="shared" si="3"/>
        <v>2586082.1100000003</v>
      </c>
      <c r="E116" s="23">
        <f t="shared" si="3"/>
        <v>-125500</v>
      </c>
      <c r="F116" s="70">
        <f>F14-F65</f>
        <v>1476522.7999999998</v>
      </c>
      <c r="G116" s="11"/>
    </row>
    <row r="117" spans="1:7" ht="15.75" thickBot="1">
      <c r="A117" s="22"/>
      <c r="B117" s="22" t="s">
        <v>17</v>
      </c>
      <c r="C117" s="23">
        <f t="shared" si="3"/>
        <v>-114985</v>
      </c>
      <c r="D117" s="23">
        <f t="shared" si="3"/>
        <v>1132934.2599999998</v>
      </c>
      <c r="E117" s="23">
        <f t="shared" si="3"/>
        <v>-440260</v>
      </c>
      <c r="F117" s="24">
        <f>F15-F66</f>
        <v>577689.25999999978</v>
      </c>
      <c r="G117" s="11"/>
    </row>
    <row r="118" spans="1:7" ht="15.75" thickBot="1">
      <c r="A118" s="22"/>
      <c r="B118" s="35" t="s">
        <v>18</v>
      </c>
      <c r="C118" s="28">
        <f>SUM(C112:C117)</f>
        <v>-979026.31</v>
      </c>
      <c r="D118" s="28">
        <f>SUM(D112:D117)</f>
        <v>4738493.99</v>
      </c>
      <c r="E118" s="28">
        <f>SUM(E112:E117)</f>
        <v>-547778</v>
      </c>
      <c r="F118" s="29">
        <f>SUM(F112:F117)</f>
        <v>3211689.6799999997</v>
      </c>
      <c r="G118" s="11"/>
    </row>
    <row r="119" spans="1:7" ht="15">
      <c r="A119" s="22"/>
      <c r="B119" s="35"/>
      <c r="C119" s="54"/>
      <c r="D119" s="54"/>
      <c r="E119" s="54"/>
      <c r="F119" s="55"/>
      <c r="G119" s="11"/>
    </row>
    <row r="120" spans="1:7">
      <c r="A120" s="56" t="s">
        <v>19</v>
      </c>
      <c r="B120" s="35"/>
      <c r="C120" s="31"/>
      <c r="D120" s="31"/>
      <c r="E120" s="31"/>
      <c r="F120" s="57"/>
      <c r="G120" s="11"/>
    </row>
    <row r="121" spans="1:7" ht="15">
      <c r="A121" s="56"/>
      <c r="B121" s="35"/>
      <c r="C121" s="23"/>
      <c r="D121" s="23"/>
      <c r="E121" s="23"/>
      <c r="F121" s="24"/>
      <c r="G121" s="11"/>
    </row>
    <row r="122" spans="1:7" ht="15">
      <c r="A122" s="22"/>
      <c r="B122" s="58" t="s">
        <v>20</v>
      </c>
      <c r="C122" s="23">
        <f>C19-C71</f>
        <v>30000</v>
      </c>
      <c r="D122" s="23">
        <f>D19-D71</f>
        <v>298000</v>
      </c>
      <c r="E122" s="23">
        <f>E19-E71</f>
        <v>0</v>
      </c>
      <c r="F122" s="24">
        <f>SUM(C122:E122)</f>
        <v>328000</v>
      </c>
      <c r="G122" s="11"/>
    </row>
    <row r="123" spans="1:7" s="74" customFormat="1">
      <c r="A123" s="71"/>
      <c r="B123" s="35" t="s">
        <v>21</v>
      </c>
      <c r="C123" s="72">
        <f t="shared" ref="C123:D129" si="4">C20-C72</f>
        <v>0</v>
      </c>
      <c r="D123" s="25">
        <f>D20-E74</f>
        <v>5000</v>
      </c>
      <c r="E123" s="25">
        <f t="shared" ref="E123:E129" si="5">E20-E72</f>
        <v>0</v>
      </c>
      <c r="F123" s="70">
        <f t="shared" ref="F123:F137" si="6">SUM(C123:E123)</f>
        <v>5000</v>
      </c>
      <c r="G123" s="73"/>
    </row>
    <row r="124" spans="1:7" ht="15">
      <c r="A124" s="22"/>
      <c r="B124" s="35" t="s">
        <v>22</v>
      </c>
      <c r="C124" s="23">
        <f t="shared" si="4"/>
        <v>-39585</v>
      </c>
      <c r="D124" s="23">
        <f t="shared" si="4"/>
        <v>63987.45</v>
      </c>
      <c r="E124" s="23">
        <f t="shared" si="5"/>
        <v>0</v>
      </c>
      <c r="F124" s="24">
        <f t="shared" si="6"/>
        <v>24402.449999999997</v>
      </c>
      <c r="G124" s="11"/>
    </row>
    <row r="125" spans="1:7" ht="15">
      <c r="A125" s="22"/>
      <c r="B125" s="35" t="s">
        <v>57</v>
      </c>
      <c r="C125" s="23">
        <f t="shared" si="4"/>
        <v>75317.81</v>
      </c>
      <c r="D125" s="23">
        <f t="shared" si="4"/>
        <v>79600.760000000242</v>
      </c>
      <c r="E125" s="23">
        <f t="shared" si="5"/>
        <v>0</v>
      </c>
      <c r="F125" s="24">
        <f t="shared" si="6"/>
        <v>154918.57000000024</v>
      </c>
      <c r="G125" s="11"/>
    </row>
    <row r="126" spans="1:7" ht="15">
      <c r="A126" s="22"/>
      <c r="B126" s="58" t="s">
        <v>24</v>
      </c>
      <c r="C126" s="23">
        <f t="shared" si="4"/>
        <v>511807.5</v>
      </c>
      <c r="D126" s="23">
        <f t="shared" si="4"/>
        <v>952606.49000000011</v>
      </c>
      <c r="E126" s="23">
        <f t="shared" si="5"/>
        <v>50000</v>
      </c>
      <c r="F126" s="24">
        <f t="shared" si="6"/>
        <v>1514413.9900000002</v>
      </c>
      <c r="G126" s="11"/>
    </row>
    <row r="127" spans="1:7" ht="15">
      <c r="A127" s="22"/>
      <c r="B127" s="58" t="s">
        <v>25</v>
      </c>
      <c r="C127" s="23">
        <f t="shared" si="4"/>
        <v>782146.25999999989</v>
      </c>
      <c r="D127" s="23">
        <f t="shared" si="4"/>
        <v>1334427.5699999998</v>
      </c>
      <c r="E127" s="23">
        <f t="shared" si="5"/>
        <v>50000</v>
      </c>
      <c r="F127" s="24">
        <f t="shared" si="6"/>
        <v>2166573.8299999996</v>
      </c>
      <c r="G127" s="11"/>
    </row>
    <row r="128" spans="1:7" ht="15">
      <c r="A128" s="22"/>
      <c r="B128" s="35" t="s">
        <v>26</v>
      </c>
      <c r="C128" s="23">
        <f t="shared" si="4"/>
        <v>42350</v>
      </c>
      <c r="D128" s="23">
        <f t="shared" si="4"/>
        <v>26015.97</v>
      </c>
      <c r="E128" s="23">
        <f t="shared" si="5"/>
        <v>0</v>
      </c>
      <c r="F128" s="24">
        <f t="shared" si="6"/>
        <v>68365.97</v>
      </c>
      <c r="G128" s="11"/>
    </row>
    <row r="129" spans="1:7" ht="15">
      <c r="A129" s="22"/>
      <c r="B129" s="22" t="s">
        <v>27</v>
      </c>
      <c r="C129" s="23">
        <f t="shared" si="4"/>
        <v>7199.9999999999709</v>
      </c>
      <c r="D129" s="23">
        <f t="shared" si="4"/>
        <v>102528</v>
      </c>
      <c r="E129" s="23">
        <f t="shared" si="5"/>
        <v>85535.08</v>
      </c>
      <c r="F129" s="24">
        <f>F26-F78</f>
        <v>195263.07999999996</v>
      </c>
      <c r="G129" s="11"/>
    </row>
    <row r="130" spans="1:7" ht="15">
      <c r="A130" s="22"/>
      <c r="B130" s="22" t="s">
        <v>28</v>
      </c>
      <c r="C130" s="23">
        <f>SUM(C27-C79)</f>
        <v>-107250</v>
      </c>
      <c r="D130" s="23">
        <f>SUM(D27-D79)</f>
        <v>140426.5</v>
      </c>
      <c r="E130" s="23">
        <f>SUM(E27-E79)</f>
        <v>0</v>
      </c>
      <c r="F130" s="24">
        <f>SUM(F27-F79)</f>
        <v>33176.5</v>
      </c>
      <c r="G130" s="11"/>
    </row>
    <row r="131" spans="1:7" ht="15">
      <c r="A131" s="22"/>
      <c r="B131" s="33" t="s">
        <v>29</v>
      </c>
      <c r="C131" s="23">
        <f t="shared" ref="C131:F146" si="7">C28-C80</f>
        <v>453133.33</v>
      </c>
      <c r="D131" s="23">
        <f t="shared" si="7"/>
        <v>113564.93</v>
      </c>
      <c r="E131" s="23">
        <f t="shared" si="7"/>
        <v>-26710.119999999995</v>
      </c>
      <c r="F131" s="24">
        <f t="shared" si="6"/>
        <v>539988.14</v>
      </c>
      <c r="G131" s="11"/>
    </row>
    <row r="132" spans="1:7" ht="15">
      <c r="A132" s="22"/>
      <c r="B132" s="33" t="s">
        <v>30</v>
      </c>
      <c r="C132" s="23">
        <f t="shared" si="7"/>
        <v>86000</v>
      </c>
      <c r="D132" s="23">
        <f t="shared" si="7"/>
        <v>312800</v>
      </c>
      <c r="E132" s="23">
        <f t="shared" si="7"/>
        <v>80300</v>
      </c>
      <c r="F132" s="24">
        <f t="shared" si="6"/>
        <v>479100</v>
      </c>
      <c r="G132" s="11"/>
    </row>
    <row r="133" spans="1:7" ht="15">
      <c r="A133" s="22"/>
      <c r="B133" s="33" t="s">
        <v>31</v>
      </c>
      <c r="C133" s="23">
        <f t="shared" si="7"/>
        <v>-131837.64999999997</v>
      </c>
      <c r="D133" s="23">
        <f t="shared" si="7"/>
        <v>393442.76</v>
      </c>
      <c r="E133" s="23">
        <f t="shared" si="7"/>
        <v>60940</v>
      </c>
      <c r="F133" s="24">
        <f t="shared" si="6"/>
        <v>322545.11000000004</v>
      </c>
      <c r="G133" s="11"/>
    </row>
    <row r="134" spans="1:7" ht="15">
      <c r="A134" s="22"/>
      <c r="B134" s="33" t="s">
        <v>32</v>
      </c>
      <c r="C134" s="23">
        <f t="shared" si="7"/>
        <v>0</v>
      </c>
      <c r="D134" s="23">
        <f t="shared" si="7"/>
        <v>737403.5</v>
      </c>
      <c r="E134" s="23">
        <f t="shared" si="7"/>
        <v>460000</v>
      </c>
      <c r="F134" s="24">
        <f t="shared" si="6"/>
        <v>1197403.5</v>
      </c>
      <c r="G134" s="11"/>
    </row>
    <row r="135" spans="1:7" ht="15">
      <c r="A135" s="22"/>
      <c r="B135" s="22" t="s">
        <v>33</v>
      </c>
      <c r="C135" s="23">
        <f t="shared" si="7"/>
        <v>0</v>
      </c>
      <c r="D135" s="23">
        <f t="shared" si="7"/>
        <v>294649.7</v>
      </c>
      <c r="E135" s="23">
        <f t="shared" si="7"/>
        <v>0</v>
      </c>
      <c r="F135" s="24">
        <f t="shared" si="6"/>
        <v>294649.7</v>
      </c>
      <c r="G135" s="11"/>
    </row>
    <row r="136" spans="1:7" ht="15">
      <c r="A136" s="22"/>
      <c r="B136" s="22" t="s">
        <v>34</v>
      </c>
      <c r="C136" s="23">
        <f t="shared" si="7"/>
        <v>-10800</v>
      </c>
      <c r="D136" s="23">
        <f t="shared" si="7"/>
        <v>18619.47</v>
      </c>
      <c r="E136" s="23">
        <f t="shared" si="7"/>
        <v>0</v>
      </c>
      <c r="F136" s="24">
        <f t="shared" si="6"/>
        <v>7819.4700000000012</v>
      </c>
      <c r="G136" s="11"/>
    </row>
    <row r="137" spans="1:7" ht="15">
      <c r="A137" s="22"/>
      <c r="B137" s="22" t="s">
        <v>35</v>
      </c>
      <c r="C137" s="23">
        <f t="shared" si="7"/>
        <v>-214502</v>
      </c>
      <c r="D137" s="23">
        <f t="shared" si="7"/>
        <v>2951474.83</v>
      </c>
      <c r="E137" s="23">
        <f t="shared" si="7"/>
        <v>-715000</v>
      </c>
      <c r="F137" s="24">
        <f t="shared" si="6"/>
        <v>2021972.83</v>
      </c>
      <c r="G137" s="11"/>
    </row>
    <row r="138" spans="1:7" ht="15">
      <c r="A138" s="22"/>
      <c r="B138" s="22" t="s">
        <v>58</v>
      </c>
      <c r="C138" s="59">
        <f t="shared" si="7"/>
        <v>-571386.67000000004</v>
      </c>
      <c r="D138" s="59">
        <f t="shared" si="7"/>
        <v>983838.26</v>
      </c>
      <c r="E138" s="59">
        <f t="shared" si="7"/>
        <v>0</v>
      </c>
      <c r="F138" s="59">
        <f t="shared" si="7"/>
        <v>412451.58999999997</v>
      </c>
      <c r="G138" s="11"/>
    </row>
    <row r="139" spans="1:7" ht="15">
      <c r="A139" s="34"/>
      <c r="B139" s="35" t="s">
        <v>37</v>
      </c>
      <c r="C139" s="23">
        <f t="shared" si="7"/>
        <v>-221070</v>
      </c>
      <c r="D139" s="23">
        <f t="shared" si="7"/>
        <v>970852.08999999985</v>
      </c>
      <c r="E139" s="23">
        <f t="shared" si="7"/>
        <v>0</v>
      </c>
      <c r="F139" s="59">
        <f t="shared" si="7"/>
        <v>749782.08999999985</v>
      </c>
      <c r="G139" s="11"/>
    </row>
    <row r="140" spans="1:7" ht="15">
      <c r="A140" s="34"/>
      <c r="B140" s="35" t="s">
        <v>38</v>
      </c>
      <c r="C140" s="23">
        <f t="shared" si="7"/>
        <v>0</v>
      </c>
      <c r="D140" s="23">
        <f t="shared" si="7"/>
        <v>37947</v>
      </c>
      <c r="E140" s="23">
        <f t="shared" si="7"/>
        <v>0</v>
      </c>
      <c r="F140" s="59">
        <f t="shared" si="7"/>
        <v>37947</v>
      </c>
      <c r="G140" s="11"/>
    </row>
    <row r="141" spans="1:7" ht="15">
      <c r="A141" s="34"/>
      <c r="B141" s="35" t="s">
        <v>39</v>
      </c>
      <c r="C141" s="23">
        <f t="shared" si="7"/>
        <v>0</v>
      </c>
      <c r="D141" s="23">
        <f t="shared" si="7"/>
        <v>464001</v>
      </c>
      <c r="E141" s="23">
        <f t="shared" si="7"/>
        <v>0</v>
      </c>
      <c r="F141" s="59">
        <f t="shared" si="7"/>
        <v>464001</v>
      </c>
      <c r="G141" s="11"/>
    </row>
    <row r="142" spans="1:7" ht="15">
      <c r="A142" s="34"/>
      <c r="B142" s="35" t="s">
        <v>40</v>
      </c>
      <c r="C142" s="23">
        <f t="shared" si="7"/>
        <v>0</v>
      </c>
      <c r="D142" s="23">
        <f t="shared" si="7"/>
        <v>128270.42000000001</v>
      </c>
      <c r="E142" s="23">
        <f t="shared" si="7"/>
        <v>0</v>
      </c>
      <c r="F142" s="59">
        <f t="shared" si="7"/>
        <v>128270.42000000001</v>
      </c>
      <c r="G142" s="11"/>
    </row>
    <row r="143" spans="1:7" ht="15">
      <c r="A143" s="34"/>
      <c r="B143" s="35" t="s">
        <v>41</v>
      </c>
      <c r="C143" s="23">
        <f t="shared" si="7"/>
        <v>0</v>
      </c>
      <c r="D143" s="23">
        <f t="shared" si="7"/>
        <v>39607</v>
      </c>
      <c r="E143" s="23">
        <f t="shared" si="7"/>
        <v>0</v>
      </c>
      <c r="F143" s="59">
        <f t="shared" si="7"/>
        <v>39607</v>
      </c>
      <c r="G143" s="11"/>
    </row>
    <row r="144" spans="1:7" ht="15">
      <c r="A144" s="34"/>
      <c r="B144" s="35" t="s">
        <v>42</v>
      </c>
      <c r="C144" s="23">
        <f t="shared" si="7"/>
        <v>0</v>
      </c>
      <c r="D144" s="23">
        <f t="shared" si="7"/>
        <v>29930</v>
      </c>
      <c r="E144" s="23">
        <f t="shared" si="7"/>
        <v>0</v>
      </c>
      <c r="F144" s="59">
        <f t="shared" si="7"/>
        <v>29930</v>
      </c>
      <c r="G144" s="11"/>
    </row>
    <row r="145" spans="1:7" ht="15">
      <c r="A145" s="34"/>
      <c r="B145" s="35" t="s">
        <v>43</v>
      </c>
      <c r="C145" s="23">
        <f t="shared" si="7"/>
        <v>-29140</v>
      </c>
      <c r="D145" s="23">
        <f t="shared" si="7"/>
        <v>345577.26</v>
      </c>
      <c r="E145" s="23">
        <f t="shared" si="7"/>
        <v>0</v>
      </c>
      <c r="F145" s="59">
        <f t="shared" si="7"/>
        <v>316437.26</v>
      </c>
      <c r="G145" s="11"/>
    </row>
    <row r="146" spans="1:7" ht="15">
      <c r="A146" s="34"/>
      <c r="B146" s="35" t="s">
        <v>44</v>
      </c>
      <c r="C146" s="23">
        <f t="shared" si="7"/>
        <v>-16500</v>
      </c>
      <c r="D146" s="23">
        <f t="shared" si="7"/>
        <v>31654</v>
      </c>
      <c r="E146" s="23">
        <f t="shared" si="7"/>
        <v>0</v>
      </c>
      <c r="F146" s="59">
        <f t="shared" si="7"/>
        <v>15154</v>
      </c>
      <c r="G146" s="11"/>
    </row>
    <row r="147" spans="1:7" ht="15">
      <c r="A147" s="34"/>
      <c r="B147" s="35" t="s">
        <v>45</v>
      </c>
      <c r="C147" s="23">
        <f t="shared" ref="C147:F156" si="8">C44-C96</f>
        <v>0</v>
      </c>
      <c r="D147" s="23">
        <f t="shared" si="8"/>
        <v>24614</v>
      </c>
      <c r="E147" s="23">
        <f t="shared" si="8"/>
        <v>0</v>
      </c>
      <c r="F147" s="59">
        <f t="shared" si="8"/>
        <v>24614</v>
      </c>
      <c r="G147" s="11"/>
    </row>
    <row r="148" spans="1:7" ht="15">
      <c r="A148" s="34"/>
      <c r="B148" s="35" t="s">
        <v>46</v>
      </c>
      <c r="C148" s="23">
        <f t="shared" si="8"/>
        <v>0</v>
      </c>
      <c r="D148" s="23">
        <f t="shared" si="8"/>
        <v>-3321.16</v>
      </c>
      <c r="E148" s="23">
        <f t="shared" si="8"/>
        <v>0</v>
      </c>
      <c r="F148" s="59">
        <f t="shared" si="8"/>
        <v>-3321.16</v>
      </c>
      <c r="G148" s="11"/>
    </row>
    <row r="149" spans="1:7" ht="15">
      <c r="A149" s="34"/>
      <c r="B149" s="35" t="s">
        <v>47</v>
      </c>
      <c r="C149" s="23">
        <f t="shared" si="8"/>
        <v>-292860</v>
      </c>
      <c r="D149" s="23">
        <f t="shared" si="8"/>
        <v>1142857.21</v>
      </c>
      <c r="E149" s="23">
        <f t="shared" si="8"/>
        <v>0</v>
      </c>
      <c r="F149" s="59">
        <f t="shared" si="8"/>
        <v>849997.21000000008</v>
      </c>
      <c r="G149" s="11"/>
    </row>
    <row r="150" spans="1:7" ht="15">
      <c r="A150" s="34"/>
      <c r="B150" s="35" t="s">
        <v>48</v>
      </c>
      <c r="C150" s="23">
        <f t="shared" si="8"/>
        <v>0</v>
      </c>
      <c r="D150" s="23">
        <f t="shared" si="8"/>
        <v>61282.179999999993</v>
      </c>
      <c r="E150" s="23">
        <f t="shared" si="8"/>
        <v>0</v>
      </c>
      <c r="F150" s="59">
        <f t="shared" si="8"/>
        <v>61282.179999999993</v>
      </c>
      <c r="G150" s="11"/>
    </row>
    <row r="151" spans="1:7" ht="15">
      <c r="A151" s="34"/>
      <c r="B151" s="35" t="s">
        <v>49</v>
      </c>
      <c r="C151" s="23">
        <f t="shared" si="8"/>
        <v>0</v>
      </c>
      <c r="D151" s="23">
        <f t="shared" si="8"/>
        <v>127854.35</v>
      </c>
      <c r="E151" s="23">
        <f t="shared" si="8"/>
        <v>0</v>
      </c>
      <c r="F151" s="59">
        <f t="shared" si="8"/>
        <v>127854.35</v>
      </c>
      <c r="G151" s="11"/>
    </row>
    <row r="152" spans="1:7" ht="15">
      <c r="A152" s="34"/>
      <c r="B152" s="35" t="s">
        <v>50</v>
      </c>
      <c r="C152" s="23">
        <f t="shared" si="8"/>
        <v>0</v>
      </c>
      <c r="D152" s="23">
        <f t="shared" si="8"/>
        <v>61845.08</v>
      </c>
      <c r="E152" s="23">
        <f t="shared" si="8"/>
        <v>0</v>
      </c>
      <c r="F152" s="59">
        <f t="shared" si="8"/>
        <v>61845.08</v>
      </c>
      <c r="G152" s="11"/>
    </row>
    <row r="153" spans="1:7" ht="15">
      <c r="A153" s="34"/>
      <c r="B153" s="35" t="s">
        <v>51</v>
      </c>
      <c r="C153" s="23">
        <f t="shared" si="8"/>
        <v>-446078.85000000003</v>
      </c>
      <c r="D153" s="23">
        <f t="shared" si="8"/>
        <v>3410734.66</v>
      </c>
      <c r="E153" s="23">
        <f t="shared" si="8"/>
        <v>-336200</v>
      </c>
      <c r="F153" s="59">
        <f t="shared" si="8"/>
        <v>2628455.8100000005</v>
      </c>
      <c r="G153" s="11"/>
    </row>
    <row r="154" spans="1:7" ht="15">
      <c r="A154" s="34"/>
      <c r="B154" s="35" t="s">
        <v>52</v>
      </c>
      <c r="C154" s="23">
        <f t="shared" si="8"/>
        <v>-87500</v>
      </c>
      <c r="D154" s="23">
        <f t="shared" si="8"/>
        <v>94772.25</v>
      </c>
      <c r="E154" s="23">
        <f t="shared" si="8"/>
        <v>0</v>
      </c>
      <c r="F154" s="23">
        <f t="shared" si="8"/>
        <v>7272.25</v>
      </c>
      <c r="G154" s="11"/>
    </row>
    <row r="155" spans="1:7" ht="15">
      <c r="A155" s="34"/>
      <c r="B155" s="35" t="s">
        <v>53</v>
      </c>
      <c r="C155" s="23">
        <f t="shared" si="8"/>
        <v>3397307.82</v>
      </c>
      <c r="D155" s="23">
        <f t="shared" si="8"/>
        <v>429799.83</v>
      </c>
      <c r="E155" s="23">
        <f t="shared" si="8"/>
        <v>0</v>
      </c>
      <c r="F155" s="23">
        <f t="shared" si="8"/>
        <v>3827107.65</v>
      </c>
      <c r="G155" s="11"/>
    </row>
    <row r="156" spans="1:7" ht="15.75" thickBot="1">
      <c r="A156" s="34"/>
      <c r="B156" s="35" t="s">
        <v>54</v>
      </c>
      <c r="C156" s="37">
        <f t="shared" si="8"/>
        <v>0</v>
      </c>
      <c r="D156" s="37">
        <f t="shared" si="8"/>
        <v>-1560</v>
      </c>
      <c r="E156" s="37">
        <f t="shared" si="8"/>
        <v>0</v>
      </c>
      <c r="F156" s="37">
        <f t="shared" si="8"/>
        <v>-1560</v>
      </c>
      <c r="G156" s="11"/>
    </row>
    <row r="157" spans="1:7" ht="15.75" thickBot="1">
      <c r="A157" s="41"/>
      <c r="B157" s="63" t="s">
        <v>18</v>
      </c>
      <c r="C157" s="39">
        <f>SUM(C122:C156)</f>
        <v>3216752.55</v>
      </c>
      <c r="D157" s="39">
        <f>SUM(D122:D156)</f>
        <v>16205103.360000001</v>
      </c>
      <c r="E157" s="39">
        <f>SUM(E122:E156)</f>
        <v>-291135.04000000004</v>
      </c>
      <c r="F157" s="39">
        <f>SUM(F122:F156)</f>
        <v>19130720.870000001</v>
      </c>
      <c r="G157" s="11"/>
    </row>
    <row r="158" spans="1:7" ht="15.75" thickBot="1">
      <c r="A158" s="38"/>
      <c r="B158" s="75"/>
      <c r="C158" s="39"/>
      <c r="D158" s="39"/>
      <c r="E158" s="39"/>
      <c r="F158" s="76"/>
      <c r="G158" s="11"/>
    </row>
    <row r="159" spans="1:7" ht="13.5" thickBot="1">
      <c r="A159" s="41"/>
      <c r="B159" s="65" t="s">
        <v>55</v>
      </c>
      <c r="C159" s="64">
        <f>SUM(C157+C118)</f>
        <v>2237726.2399999998</v>
      </c>
      <c r="D159" s="64">
        <f>SUM(D157+D118)</f>
        <v>20943597.350000001</v>
      </c>
      <c r="E159" s="64">
        <f>SUM(E157+E118)</f>
        <v>-838913.04</v>
      </c>
      <c r="F159" s="66">
        <f>SUM(F157+F118)</f>
        <v>22342410.550000001</v>
      </c>
      <c r="G159" s="11"/>
    </row>
    <row r="160" spans="1:7">
      <c r="A160" s="11"/>
      <c r="B160" s="77" t="s">
        <v>60</v>
      </c>
      <c r="C160" s="67"/>
      <c r="D160" s="67"/>
      <c r="E160" s="67"/>
      <c r="F160" s="67"/>
      <c r="G160" s="11"/>
    </row>
    <row r="161" spans="1:7">
      <c r="A161" s="11"/>
      <c r="B161" s="78"/>
      <c r="C161" s="67"/>
      <c r="D161" s="67"/>
      <c r="E161" s="67"/>
      <c r="F161" s="67"/>
      <c r="G161" s="11"/>
    </row>
    <row r="162" spans="1:7">
      <c r="A162" s="2" t="s">
        <v>61</v>
      </c>
      <c r="C162" s="2" t="s">
        <v>62</v>
      </c>
      <c r="D162" s="2" t="s">
        <v>63</v>
      </c>
    </row>
    <row r="166" spans="1:7">
      <c r="A166" s="3" t="s">
        <v>64</v>
      </c>
      <c r="B166" s="3"/>
      <c r="C166" s="3" t="s">
        <v>65</v>
      </c>
      <c r="E166" s="3" t="s">
        <v>66</v>
      </c>
    </row>
    <row r="167" spans="1:7">
      <c r="A167" s="2" t="s">
        <v>67</v>
      </c>
      <c r="C167" s="2" t="s">
        <v>68</v>
      </c>
      <c r="E167" s="2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7"/>
  <sheetViews>
    <sheetView tabSelected="1" topLeftCell="A133" workbookViewId="0">
      <selection activeCell="A14" sqref="A14"/>
    </sheetView>
  </sheetViews>
  <sheetFormatPr defaultRowHeight="15"/>
  <cols>
    <col min="1" max="1" width="70.140625" customWidth="1"/>
    <col min="2" max="4" width="17" style="80" customWidth="1"/>
    <col min="5" max="5" width="17" style="81" customWidth="1"/>
    <col min="6" max="6" width="16.42578125" customWidth="1"/>
    <col min="7" max="7" width="13.5703125" bestFit="1" customWidth="1"/>
    <col min="8" max="8" width="14.28515625" bestFit="1" customWidth="1"/>
    <col min="9" max="9" width="13.140625" customWidth="1"/>
  </cols>
  <sheetData>
    <row r="1" spans="1:6">
      <c r="A1" s="132" t="s">
        <v>1</v>
      </c>
      <c r="B1" s="132"/>
      <c r="C1" s="132"/>
      <c r="D1" s="132"/>
      <c r="E1" s="132"/>
      <c r="F1" s="132"/>
    </row>
    <row r="2" spans="1:6">
      <c r="A2" s="133" t="s">
        <v>2</v>
      </c>
      <c r="B2" s="133"/>
      <c r="C2" s="133"/>
      <c r="D2" s="133"/>
      <c r="E2" s="133"/>
      <c r="F2" s="133"/>
    </row>
    <row r="3" spans="1:6" ht="15.75">
      <c r="A3" s="134" t="s">
        <v>70</v>
      </c>
      <c r="B3" s="133"/>
      <c r="C3" s="133"/>
      <c r="D3" s="133"/>
      <c r="E3" s="133"/>
      <c r="F3" s="133"/>
    </row>
    <row r="4" spans="1:6">
      <c r="A4" s="135" t="s">
        <v>71</v>
      </c>
      <c r="B4" s="133"/>
      <c r="C4" s="133"/>
      <c r="D4" s="133"/>
      <c r="E4" s="133"/>
      <c r="F4" s="133"/>
    </row>
    <row r="5" spans="1:6" ht="15.75" thickBot="1"/>
    <row r="6" spans="1:6" ht="15.75" thickBot="1">
      <c r="A6" s="82" t="s">
        <v>72</v>
      </c>
      <c r="B6" s="83" t="s">
        <v>7</v>
      </c>
      <c r="C6" s="83" t="s">
        <v>8</v>
      </c>
      <c r="D6" s="83" t="s">
        <v>9</v>
      </c>
      <c r="E6" s="84" t="s">
        <v>10</v>
      </c>
    </row>
    <row r="7" spans="1:6" ht="15.75" thickBot="1">
      <c r="A7" s="120" t="s">
        <v>73</v>
      </c>
      <c r="B7" s="121"/>
      <c r="C7" s="121"/>
      <c r="D7" s="121"/>
      <c r="E7" s="122"/>
    </row>
    <row r="8" spans="1:6">
      <c r="A8" s="38" t="s">
        <v>74</v>
      </c>
      <c r="B8" s="85"/>
      <c r="C8" s="85">
        <f>362.64+24571.78</f>
        <v>24934.42</v>
      </c>
      <c r="D8" s="85" t="s">
        <v>75</v>
      </c>
      <c r="E8" s="86">
        <f>SUM(B8:D8)</f>
        <v>24934.42</v>
      </c>
      <c r="F8" s="87">
        <f>E172</f>
        <v>0</v>
      </c>
    </row>
    <row r="9" spans="1:6">
      <c r="A9" s="22" t="s">
        <v>76</v>
      </c>
      <c r="B9" s="88"/>
      <c r="C9" s="88"/>
      <c r="D9" s="88">
        <f>'[1]FEBRUARY SAOB'!D9</f>
        <v>2262269.88</v>
      </c>
      <c r="E9" s="89">
        <f t="shared" ref="E9:E37" si="0">SUM(B9:D9)</f>
        <v>2262269.88</v>
      </c>
      <c r="F9" s="87">
        <f t="shared" ref="F9:F72" si="1">E173</f>
        <v>0</v>
      </c>
    </row>
    <row r="10" spans="1:6">
      <c r="A10" s="22" t="s">
        <v>77</v>
      </c>
      <c r="B10" s="88"/>
      <c r="C10" s="88">
        <f>20918.61-19681</f>
        <v>1237.6100000000006</v>
      </c>
      <c r="D10" s="88">
        <f>19681</f>
        <v>19681</v>
      </c>
      <c r="E10" s="89">
        <f t="shared" si="0"/>
        <v>20918.61</v>
      </c>
      <c r="F10" s="87">
        <f t="shared" si="1"/>
        <v>1237.6100000000006</v>
      </c>
    </row>
    <row r="11" spans="1:6">
      <c r="A11" s="22" t="s">
        <v>78</v>
      </c>
      <c r="B11" s="88"/>
      <c r="C11" s="88">
        <v>916874.32</v>
      </c>
      <c r="D11" s="88"/>
      <c r="E11" s="89">
        <f t="shared" si="0"/>
        <v>916874.32</v>
      </c>
      <c r="F11" s="87">
        <f t="shared" si="1"/>
        <v>898874.32</v>
      </c>
    </row>
    <row r="12" spans="1:6">
      <c r="A12" s="22" t="s">
        <v>79</v>
      </c>
      <c r="B12" s="88"/>
      <c r="C12" s="88">
        <v>359895.58</v>
      </c>
      <c r="D12" s="88"/>
      <c r="E12" s="89">
        <f t="shared" si="0"/>
        <v>359895.58</v>
      </c>
      <c r="F12" s="87">
        <f t="shared" si="1"/>
        <v>266803.23</v>
      </c>
    </row>
    <row r="13" spans="1:6">
      <c r="A13" s="22" t="s">
        <v>80</v>
      </c>
      <c r="B13" s="88"/>
      <c r="C13" s="88">
        <v>25542.53</v>
      </c>
      <c r="D13" s="88"/>
      <c r="E13" s="89">
        <f t="shared" si="0"/>
        <v>25542.53</v>
      </c>
      <c r="F13" s="87">
        <f t="shared" si="1"/>
        <v>19679.53</v>
      </c>
    </row>
    <row r="14" spans="1:6">
      <c r="A14" s="22" t="s">
        <v>81</v>
      </c>
      <c r="B14" s="88"/>
      <c r="C14" s="88">
        <v>856272.94</v>
      </c>
      <c r="D14" s="88"/>
      <c r="E14" s="89">
        <f t="shared" si="0"/>
        <v>856272.94</v>
      </c>
      <c r="F14" s="87">
        <f t="shared" si="1"/>
        <v>856272.94</v>
      </c>
    </row>
    <row r="15" spans="1:6">
      <c r="A15" s="22" t="s">
        <v>82</v>
      </c>
      <c r="B15" s="88"/>
      <c r="C15" s="88">
        <v>127854.36</v>
      </c>
      <c r="D15" s="88"/>
      <c r="E15" s="89">
        <f t="shared" si="0"/>
        <v>127854.36</v>
      </c>
      <c r="F15" s="87">
        <f t="shared" si="1"/>
        <v>127854.36</v>
      </c>
    </row>
    <row r="16" spans="1:6">
      <c r="A16" s="22" t="s">
        <v>83</v>
      </c>
      <c r="B16" s="88"/>
      <c r="C16" s="88">
        <v>164851.57</v>
      </c>
      <c r="D16" s="88"/>
      <c r="E16" s="89">
        <f t="shared" si="0"/>
        <v>164851.57</v>
      </c>
      <c r="F16" s="87">
        <f t="shared" si="1"/>
        <v>162751.57</v>
      </c>
    </row>
    <row r="17" spans="1:6">
      <c r="A17" s="22" t="s">
        <v>84</v>
      </c>
      <c r="B17" s="88">
        <f>74900+299815+29750+327757.09</f>
        <v>732222.09000000008</v>
      </c>
      <c r="C17" s="88">
        <f>300000+53100+490600+20000+1150710.89-327757.09</f>
        <v>1686653.7999999998</v>
      </c>
      <c r="D17" s="88">
        <f>40000+240000</f>
        <v>280000</v>
      </c>
      <c r="E17" s="89">
        <f t="shared" si="0"/>
        <v>2698875.8899999997</v>
      </c>
      <c r="F17" s="87">
        <f t="shared" si="1"/>
        <v>1538185.0399999998</v>
      </c>
    </row>
    <row r="18" spans="1:6">
      <c r="A18" s="22" t="s">
        <v>85</v>
      </c>
      <c r="B18" s="88">
        <v>10539</v>
      </c>
      <c r="C18" s="88">
        <v>51306.080000000002</v>
      </c>
      <c r="D18" s="88"/>
      <c r="E18" s="89">
        <f t="shared" si="0"/>
        <v>61845.08</v>
      </c>
      <c r="F18" s="87">
        <f t="shared" si="1"/>
        <v>61845.08</v>
      </c>
    </row>
    <row r="19" spans="1:6">
      <c r="A19" s="22" t="s">
        <v>86</v>
      </c>
      <c r="B19" s="88">
        <f>68800+38570+819541.92</f>
        <v>926911.92</v>
      </c>
      <c r="C19" s="88">
        <f>172588.5+105539.5+60860+24460+40000+50000+791375.46+1221006.9-819541.92</f>
        <v>1646288.44</v>
      </c>
      <c r="D19" s="88">
        <v>1000000</v>
      </c>
      <c r="E19" s="89">
        <f t="shared" si="0"/>
        <v>3573200.36</v>
      </c>
      <c r="F19" s="87">
        <f t="shared" si="1"/>
        <v>1169078.5599999998</v>
      </c>
    </row>
    <row r="20" spans="1:6">
      <c r="A20" s="22" t="s">
        <v>87</v>
      </c>
      <c r="B20" s="88">
        <f>8202024+804761.9</f>
        <v>9006785.9000000004</v>
      </c>
      <c r="C20" s="88">
        <f>2606815+3283300+268500+1199599+535000-19230</f>
        <v>7873984</v>
      </c>
      <c r="D20" s="88">
        <f>100000+19230</f>
        <v>119230</v>
      </c>
      <c r="E20" s="89">
        <f t="shared" si="0"/>
        <v>16999999.899999999</v>
      </c>
      <c r="F20" s="87">
        <f t="shared" si="1"/>
        <v>11794153.129999999</v>
      </c>
    </row>
    <row r="21" spans="1:6">
      <c r="A21" s="22" t="s">
        <v>88</v>
      </c>
      <c r="B21" s="88"/>
      <c r="C21" s="88">
        <f>152356.48</f>
        <v>152356.48000000001</v>
      </c>
      <c r="D21" s="88"/>
      <c r="E21" s="89">
        <f t="shared" si="0"/>
        <v>152356.48000000001</v>
      </c>
      <c r="F21" s="87">
        <f t="shared" si="1"/>
        <v>152356.48000000001</v>
      </c>
    </row>
    <row r="22" spans="1:6">
      <c r="A22" s="90" t="s">
        <v>89</v>
      </c>
      <c r="B22" s="88">
        <f>241990+132343.67+28407</f>
        <v>402740.67000000004</v>
      </c>
      <c r="C22" s="88">
        <f>57333.33+12000+120000+20000+180373.25</f>
        <v>389706.58</v>
      </c>
      <c r="D22" s="88"/>
      <c r="E22" s="89">
        <f t="shared" si="0"/>
        <v>792447.25</v>
      </c>
      <c r="F22" s="87">
        <f t="shared" si="1"/>
        <v>337050.46000000008</v>
      </c>
    </row>
    <row r="23" spans="1:6">
      <c r="A23" s="90" t="s">
        <v>90</v>
      </c>
      <c r="B23" s="88">
        <f>116500+220000+129600</f>
        <v>466100</v>
      </c>
      <c r="C23" s="88">
        <f>87000+450000+40000+12000+40000+550498.71</f>
        <v>1179498.71</v>
      </c>
      <c r="D23" s="88"/>
      <c r="E23" s="89">
        <f t="shared" si="0"/>
        <v>1645598.71</v>
      </c>
      <c r="F23" s="87">
        <f t="shared" si="1"/>
        <v>977151.56</v>
      </c>
    </row>
    <row r="24" spans="1:6">
      <c r="A24" s="90" t="s">
        <v>91</v>
      </c>
      <c r="B24" s="88">
        <f>101990+24074.93+195000+103600+37850</f>
        <v>462514.93</v>
      </c>
      <c r="C24" s="88">
        <f>33333.33+33600+30000+12000+371298.5+30000-15304</f>
        <v>494927.83</v>
      </c>
      <c r="D24" s="88">
        <v>15304</v>
      </c>
      <c r="E24" s="89">
        <f t="shared" si="0"/>
        <v>972746.76</v>
      </c>
      <c r="F24" s="87">
        <f t="shared" si="1"/>
        <v>328756.74</v>
      </c>
    </row>
    <row r="25" spans="1:6">
      <c r="A25" s="22" t="s">
        <v>92</v>
      </c>
      <c r="B25" s="88">
        <f>224840+215958+14561</f>
        <v>455359</v>
      </c>
      <c r="C25" s="88">
        <f>30000+75000+4000+139518.06</f>
        <v>248518.06</v>
      </c>
      <c r="D25" s="88">
        <v>111000</v>
      </c>
      <c r="E25" s="89">
        <f t="shared" si="0"/>
        <v>814877.06</v>
      </c>
      <c r="F25" s="87">
        <f t="shared" si="1"/>
        <v>378244.06</v>
      </c>
    </row>
    <row r="26" spans="1:6">
      <c r="A26" s="22" t="s">
        <v>93</v>
      </c>
      <c r="B26" s="88">
        <f>252840+158768+53956</f>
        <v>465564</v>
      </c>
      <c r="C26" s="88">
        <f>35000+70000+100000+2000+250526.9</f>
        <v>457526.9</v>
      </c>
      <c r="D26" s="88">
        <v>53000</v>
      </c>
      <c r="E26" s="89">
        <f t="shared" si="0"/>
        <v>976090.9</v>
      </c>
      <c r="F26" s="87">
        <f t="shared" si="1"/>
        <v>660600.22</v>
      </c>
    </row>
    <row r="27" spans="1:6">
      <c r="A27" s="22" t="s">
        <v>94</v>
      </c>
      <c r="B27" s="88">
        <f>118254+87420+70000+88800+23716</f>
        <v>388190</v>
      </c>
      <c r="C27" s="88">
        <f>39000+6000+4000+20457.67+9000+15000</f>
        <v>93457.67</v>
      </c>
      <c r="D27" s="88">
        <v>73000</v>
      </c>
      <c r="E27" s="89">
        <f t="shared" si="0"/>
        <v>554647.66999999993</v>
      </c>
      <c r="F27" s="87">
        <f t="shared" si="1"/>
        <v>527207.66999999993</v>
      </c>
    </row>
    <row r="28" spans="1:6">
      <c r="A28" s="22" t="s">
        <v>95</v>
      </c>
      <c r="B28" s="88">
        <v>254355</v>
      </c>
      <c r="C28" s="88">
        <f>347000</f>
        <v>347000</v>
      </c>
      <c r="D28" s="88">
        <v>40000</v>
      </c>
      <c r="E28" s="89">
        <f t="shared" si="0"/>
        <v>641355</v>
      </c>
      <c r="F28" s="87">
        <f t="shared" si="1"/>
        <v>441066.55</v>
      </c>
    </row>
    <row r="29" spans="1:6">
      <c r="A29" s="22" t="s">
        <v>96</v>
      </c>
      <c r="B29" s="88">
        <f>270840+196162</f>
        <v>467002</v>
      </c>
      <c r="C29" s="88">
        <f>351541+81000+203500+23000+172000</f>
        <v>831041</v>
      </c>
      <c r="D29" s="88"/>
      <c r="E29" s="89">
        <f t="shared" si="0"/>
        <v>1298043</v>
      </c>
      <c r="F29" s="87">
        <f t="shared" si="1"/>
        <v>1244643</v>
      </c>
    </row>
    <row r="30" spans="1:6">
      <c r="A30" s="22" t="s">
        <v>97</v>
      </c>
      <c r="B30" s="88">
        <f>336840+187875</f>
        <v>524715</v>
      </c>
      <c r="C30" s="88">
        <f>241000+94000+120560+25500+173500</f>
        <v>654560</v>
      </c>
      <c r="D30" s="88"/>
      <c r="E30" s="89">
        <f t="shared" si="0"/>
        <v>1179275</v>
      </c>
      <c r="F30" s="87">
        <f t="shared" si="1"/>
        <v>397618.01</v>
      </c>
    </row>
    <row r="31" spans="1:6">
      <c r="A31" s="22" t="s">
        <v>98</v>
      </c>
      <c r="B31" s="88">
        <f>501425+10635</f>
        <v>512060</v>
      </c>
      <c r="C31" s="88">
        <f>442825-10635</f>
        <v>432190</v>
      </c>
      <c r="D31" s="88">
        <v>220000</v>
      </c>
      <c r="E31" s="89">
        <f t="shared" si="0"/>
        <v>1164250</v>
      </c>
      <c r="F31" s="87">
        <f t="shared" si="1"/>
        <v>457689.7</v>
      </c>
    </row>
    <row r="32" spans="1:6">
      <c r="A32" s="22" t="s">
        <v>99</v>
      </c>
      <c r="B32" s="88">
        <v>45000</v>
      </c>
      <c r="C32" s="88">
        <f>55147.5-45000</f>
        <v>10147.5</v>
      </c>
      <c r="D32" s="88"/>
      <c r="E32" s="89">
        <f t="shared" si="0"/>
        <v>55147.5</v>
      </c>
      <c r="F32" s="87">
        <f t="shared" si="1"/>
        <v>2269.5</v>
      </c>
    </row>
    <row r="33" spans="1:8">
      <c r="A33" s="22" t="s">
        <v>100</v>
      </c>
      <c r="B33" s="88">
        <f>16200+15400</f>
        <v>31600</v>
      </c>
      <c r="C33" s="88">
        <f>7000+10000+13000+7516.22-15400</f>
        <v>22116.22</v>
      </c>
      <c r="D33" s="88"/>
      <c r="E33" s="89">
        <f t="shared" si="0"/>
        <v>53716.22</v>
      </c>
      <c r="F33" s="87">
        <f t="shared" si="1"/>
        <v>2026.2200000000012</v>
      </c>
    </row>
    <row r="34" spans="1:8">
      <c r="A34" s="22" t="s">
        <v>101</v>
      </c>
      <c r="B34" s="88"/>
      <c r="C34" s="88">
        <f>852157.97</f>
        <v>852157.97</v>
      </c>
      <c r="D34" s="88"/>
      <c r="E34" s="89">
        <f t="shared" si="0"/>
        <v>852157.97</v>
      </c>
      <c r="F34" s="87">
        <f t="shared" si="1"/>
        <v>852157.97</v>
      </c>
    </row>
    <row r="35" spans="1:8">
      <c r="A35" s="22" t="s">
        <v>102</v>
      </c>
      <c r="B35" s="88"/>
      <c r="C35" s="88">
        <f>35402.43</f>
        <v>35402.43</v>
      </c>
      <c r="D35" s="88"/>
      <c r="E35" s="89">
        <f t="shared" si="0"/>
        <v>35402.43</v>
      </c>
      <c r="F35" s="87">
        <f t="shared" si="1"/>
        <v>33717.33</v>
      </c>
    </row>
    <row r="36" spans="1:8">
      <c r="A36" s="22" t="s">
        <v>103</v>
      </c>
      <c r="B36" s="88"/>
      <c r="C36" s="88">
        <f>12192.66</f>
        <v>12192.66</v>
      </c>
      <c r="D36" s="88"/>
      <c r="E36" s="89">
        <f t="shared" si="0"/>
        <v>12192.66</v>
      </c>
      <c r="F36" s="87">
        <f t="shared" si="1"/>
        <v>2720.2700000000004</v>
      </c>
    </row>
    <row r="37" spans="1:8" ht="15.75" thickBot="1">
      <c r="A37" s="34" t="s">
        <v>104</v>
      </c>
      <c r="B37" s="91"/>
      <c r="C37" s="91">
        <f>48825.17</f>
        <v>48825.17</v>
      </c>
      <c r="D37" s="91"/>
      <c r="E37" s="92">
        <f t="shared" si="0"/>
        <v>48825.17</v>
      </c>
      <c r="F37" s="87">
        <f t="shared" si="1"/>
        <v>48825.17</v>
      </c>
    </row>
    <row r="38" spans="1:8" ht="15.75" thickBot="1">
      <c r="A38" s="93" t="s">
        <v>105</v>
      </c>
      <c r="B38" s="83">
        <f>SUM(B8:B37)</f>
        <v>15151659.51</v>
      </c>
      <c r="C38" s="83">
        <f>SUM(C8:C37)</f>
        <v>19997320.829999998</v>
      </c>
      <c r="D38" s="83">
        <f>SUM(D8:D37)</f>
        <v>4193484.88</v>
      </c>
      <c r="E38" s="84">
        <f>SUM(E8:E37)</f>
        <v>39342465.219999991</v>
      </c>
      <c r="F38" s="87">
        <f t="shared" si="1"/>
        <v>23740836.279999994</v>
      </c>
    </row>
    <row r="39" spans="1:8">
      <c r="A39" s="123" t="s">
        <v>106</v>
      </c>
      <c r="B39" s="124"/>
      <c r="C39" s="124"/>
      <c r="D39" s="124"/>
      <c r="E39" s="125"/>
      <c r="F39" s="87">
        <f t="shared" si="1"/>
        <v>0</v>
      </c>
      <c r="G39" s="87"/>
      <c r="H39" s="87"/>
    </row>
    <row r="40" spans="1:8" ht="15.75" thickBot="1">
      <c r="A40" s="126"/>
      <c r="B40" s="127"/>
      <c r="C40" s="127"/>
      <c r="D40" s="127"/>
      <c r="E40" s="128"/>
      <c r="F40" s="87">
        <f t="shared" si="1"/>
        <v>0</v>
      </c>
      <c r="G40" s="87"/>
      <c r="H40" s="87"/>
    </row>
    <row r="41" spans="1:8" ht="15.75" thickBot="1">
      <c r="A41" s="94" t="s">
        <v>107</v>
      </c>
      <c r="B41" s="95">
        <v>64876</v>
      </c>
      <c r="C41" s="96">
        <f>5558043.89+16000000+90000+6000+170480+97540+16279200-64876-45800</f>
        <v>38090587.890000001</v>
      </c>
      <c r="D41" s="97">
        <v>45800</v>
      </c>
      <c r="E41" s="98">
        <f>SUM(B41:D41)</f>
        <v>38201263.890000001</v>
      </c>
      <c r="F41" s="87">
        <f t="shared" si="1"/>
        <v>25597725.119999997</v>
      </c>
      <c r="G41" s="87"/>
      <c r="H41" s="87"/>
    </row>
    <row r="42" spans="1:8" ht="15.75" thickBot="1">
      <c r="A42" s="99" t="s">
        <v>108</v>
      </c>
      <c r="B42" s="100">
        <v>64876</v>
      </c>
      <c r="C42" s="100">
        <f>C41</f>
        <v>38090587.890000001</v>
      </c>
      <c r="D42" s="100">
        <v>45800</v>
      </c>
      <c r="E42" s="101">
        <f>E41</f>
        <v>38201263.890000001</v>
      </c>
      <c r="F42" s="87">
        <f t="shared" si="1"/>
        <v>25597725.119999997</v>
      </c>
      <c r="G42" s="87"/>
      <c r="H42" s="87"/>
    </row>
    <row r="43" spans="1:8" ht="15.75" thickBot="1">
      <c r="A43" s="129" t="s">
        <v>109</v>
      </c>
      <c r="B43" s="130"/>
      <c r="C43" s="130"/>
      <c r="D43" s="130"/>
      <c r="E43" s="131"/>
      <c r="F43" s="87">
        <f t="shared" si="1"/>
        <v>0</v>
      </c>
      <c r="G43" s="87"/>
      <c r="H43" s="87"/>
    </row>
    <row r="44" spans="1:8">
      <c r="A44" s="17" t="s">
        <v>110</v>
      </c>
      <c r="B44" s="88">
        <v>1505823.9</v>
      </c>
      <c r="C44" s="88">
        <v>2290648.6</v>
      </c>
      <c r="D44" s="88">
        <v>355820</v>
      </c>
      <c r="E44" s="89">
        <f t="shared" ref="E44:E82" si="2">SUM(B44:D44)</f>
        <v>4152292.5</v>
      </c>
      <c r="F44" s="87">
        <f t="shared" si="1"/>
        <v>1433471.12</v>
      </c>
    </row>
    <row r="45" spans="1:8">
      <c r="A45" s="102" t="s">
        <v>111</v>
      </c>
      <c r="B45" s="88">
        <v>33200</v>
      </c>
      <c r="C45" s="88">
        <f>119760-33200-38540</f>
        <v>48020</v>
      </c>
      <c r="D45" s="88">
        <v>38540</v>
      </c>
      <c r="E45" s="89">
        <f t="shared" si="2"/>
        <v>119760</v>
      </c>
      <c r="F45" s="87">
        <f t="shared" si="1"/>
        <v>10780.199999999997</v>
      </c>
    </row>
    <row r="46" spans="1:8">
      <c r="A46" s="102" t="s">
        <v>112</v>
      </c>
      <c r="B46" s="88"/>
      <c r="C46" s="88">
        <f>1682806.24</f>
        <v>1682806.24</v>
      </c>
      <c r="D46" s="88">
        <f>450000+9379707.01</f>
        <v>9829707.0099999998</v>
      </c>
      <c r="E46" s="89">
        <f t="shared" si="2"/>
        <v>11512513.25</v>
      </c>
      <c r="F46" s="87">
        <f t="shared" si="1"/>
        <v>9122110.5099999998</v>
      </c>
    </row>
    <row r="47" spans="1:8">
      <c r="A47" s="102" t="s">
        <v>113</v>
      </c>
      <c r="B47" s="88"/>
      <c r="C47" s="88">
        <v>194674.07</v>
      </c>
      <c r="D47" s="88">
        <v>46200</v>
      </c>
      <c r="E47" s="89">
        <f t="shared" si="2"/>
        <v>240874.07</v>
      </c>
      <c r="F47" s="87">
        <f t="shared" si="1"/>
        <v>102679.17000000001</v>
      </c>
    </row>
    <row r="48" spans="1:8">
      <c r="A48" s="102" t="s">
        <v>114</v>
      </c>
      <c r="B48" s="88"/>
      <c r="C48" s="88">
        <f>15553</f>
        <v>15553</v>
      </c>
      <c r="D48" s="88"/>
      <c r="E48" s="89">
        <f t="shared" si="2"/>
        <v>15553</v>
      </c>
      <c r="F48" s="87">
        <f t="shared" si="1"/>
        <v>15553</v>
      </c>
    </row>
    <row r="49" spans="1:6">
      <c r="A49" s="102" t="s">
        <v>115</v>
      </c>
      <c r="B49" s="88"/>
      <c r="C49" s="88">
        <f>150000+50000+100000+50000+50000+503332.98</f>
        <v>903332.98</v>
      </c>
      <c r="D49" s="88"/>
      <c r="E49" s="89">
        <f t="shared" si="2"/>
        <v>903332.98</v>
      </c>
      <c r="F49" s="87">
        <f t="shared" si="1"/>
        <v>780735.48</v>
      </c>
    </row>
    <row r="50" spans="1:6">
      <c r="A50" s="102" t="s">
        <v>116</v>
      </c>
      <c r="B50" s="88"/>
      <c r="C50" s="88">
        <f>59666.48</f>
        <v>59666.48</v>
      </c>
      <c r="D50" s="88"/>
      <c r="E50" s="89">
        <f t="shared" si="2"/>
        <v>59666.48</v>
      </c>
      <c r="F50" s="87">
        <f t="shared" si="1"/>
        <v>59666.48</v>
      </c>
    </row>
    <row r="51" spans="1:6">
      <c r="A51" s="102" t="s">
        <v>117</v>
      </c>
      <c r="B51" s="88"/>
      <c r="C51" s="88">
        <f>150000+50000+50000+14451.8</f>
        <v>264451.8</v>
      </c>
      <c r="D51" s="88">
        <v>150000</v>
      </c>
      <c r="E51" s="89">
        <f t="shared" si="2"/>
        <v>414451.8</v>
      </c>
      <c r="F51" s="87">
        <f t="shared" si="1"/>
        <v>414451.8</v>
      </c>
    </row>
    <row r="52" spans="1:6">
      <c r="A52" s="22" t="s">
        <v>118</v>
      </c>
      <c r="B52" s="88">
        <f>150000</f>
        <v>150000</v>
      </c>
      <c r="C52" s="88">
        <f>90940+158777.08</f>
        <v>249717.08</v>
      </c>
      <c r="D52" s="88"/>
      <c r="E52" s="89">
        <f t="shared" si="2"/>
        <v>399717.07999999996</v>
      </c>
      <c r="F52" s="87">
        <f t="shared" si="1"/>
        <v>215661.33</v>
      </c>
    </row>
    <row r="53" spans="1:6">
      <c r="A53" s="90" t="s">
        <v>119</v>
      </c>
      <c r="B53" s="88">
        <f>350000+16616</f>
        <v>366616</v>
      </c>
      <c r="C53" s="88">
        <f>200000+150000+26764.03+85417.44</f>
        <v>462181.47000000003</v>
      </c>
      <c r="D53" s="88">
        <f>300000-85417.44</f>
        <v>214582.56</v>
      </c>
      <c r="E53" s="89">
        <f t="shared" si="2"/>
        <v>1043380.03</v>
      </c>
      <c r="F53" s="87">
        <f t="shared" si="1"/>
        <v>401542.78</v>
      </c>
    </row>
    <row r="54" spans="1:6">
      <c r="A54" s="22" t="s">
        <v>120</v>
      </c>
      <c r="B54" s="88">
        <f>'[1]2013 breakdown of allotment'!F52+55571.42</f>
        <v>1168291.42</v>
      </c>
      <c r="C54" s="88">
        <f>'[1]2013 breakdown of allotment'!V52-55571.42</f>
        <v>1530983.58</v>
      </c>
      <c r="D54" s="88">
        <f>'[1]2013 breakdown of allotment'!AB52</f>
        <v>433000</v>
      </c>
      <c r="E54" s="89">
        <f t="shared" si="2"/>
        <v>3132275</v>
      </c>
      <c r="F54" s="87">
        <f t="shared" si="1"/>
        <v>1380394.19</v>
      </c>
    </row>
    <row r="55" spans="1:6">
      <c r="A55" s="103" t="s">
        <v>121</v>
      </c>
      <c r="B55" s="88">
        <f>'[1]2013 breakdown of allotment'!F53</f>
        <v>0</v>
      </c>
      <c r="C55" s="88">
        <f>73894.97</f>
        <v>73894.97</v>
      </c>
      <c r="D55" s="88">
        <f>'[1]2013 breakdown of allotment'!AB53</f>
        <v>0</v>
      </c>
      <c r="E55" s="89">
        <f t="shared" si="2"/>
        <v>73894.97</v>
      </c>
      <c r="F55" s="87">
        <f t="shared" si="1"/>
        <v>67576.58</v>
      </c>
    </row>
    <row r="56" spans="1:6">
      <c r="A56" s="22" t="s">
        <v>122</v>
      </c>
      <c r="B56" s="88"/>
      <c r="C56" s="88">
        <f>6841.8</f>
        <v>6841.8</v>
      </c>
      <c r="D56" s="88"/>
      <c r="E56" s="89">
        <f t="shared" si="2"/>
        <v>6841.8</v>
      </c>
      <c r="F56" s="87">
        <f t="shared" si="1"/>
        <v>6841.8</v>
      </c>
    </row>
    <row r="57" spans="1:6">
      <c r="A57" s="22" t="s">
        <v>123</v>
      </c>
      <c r="B57" s="88"/>
      <c r="C57" s="88">
        <f>480608.5</f>
        <v>480608.5</v>
      </c>
      <c r="D57" s="88"/>
      <c r="E57" s="89">
        <f t="shared" si="2"/>
        <v>480608.5</v>
      </c>
      <c r="F57" s="87">
        <f t="shared" si="1"/>
        <v>480608.5</v>
      </c>
    </row>
    <row r="58" spans="1:6" ht="15.75" thickBot="1">
      <c r="A58" s="104" t="s">
        <v>124</v>
      </c>
      <c r="B58" s="105"/>
      <c r="C58" s="105">
        <v>2770959.1</v>
      </c>
      <c r="D58" s="105"/>
      <c r="E58" s="89">
        <f t="shared" si="2"/>
        <v>2770959.1</v>
      </c>
      <c r="F58" s="87">
        <f t="shared" si="1"/>
        <v>1742250.9900000002</v>
      </c>
    </row>
    <row r="59" spans="1:6" ht="15.75" thickBot="1">
      <c r="A59" s="79" t="s">
        <v>125</v>
      </c>
      <c r="B59" s="84">
        <f t="shared" ref="B59:D59" si="3">SUM(B44:B58)</f>
        <v>3223931.32</v>
      </c>
      <c r="C59" s="84">
        <f t="shared" si="3"/>
        <v>11034339.67</v>
      </c>
      <c r="D59" s="84">
        <f t="shared" si="3"/>
        <v>11067849.57</v>
      </c>
      <c r="E59" s="84">
        <f>SUM(E44:E58)</f>
        <v>25326120.560000002</v>
      </c>
      <c r="F59" s="87">
        <f t="shared" si="1"/>
        <v>16234323.930000002</v>
      </c>
    </row>
    <row r="60" spans="1:6" ht="15.75" thickBot="1">
      <c r="A60" s="129" t="s">
        <v>126</v>
      </c>
      <c r="B60" s="130"/>
      <c r="C60" s="130"/>
      <c r="D60" s="130"/>
      <c r="E60" s="131"/>
      <c r="F60" s="87">
        <f t="shared" si="1"/>
        <v>0</v>
      </c>
    </row>
    <row r="61" spans="1:6">
      <c r="A61" s="106" t="s">
        <v>127</v>
      </c>
      <c r="B61" s="85"/>
      <c r="C61" s="85">
        <v>173851.53</v>
      </c>
      <c r="D61" s="85"/>
      <c r="E61" s="86">
        <f t="shared" si="2"/>
        <v>173851.53</v>
      </c>
      <c r="F61" s="87">
        <f t="shared" si="1"/>
        <v>159869.47</v>
      </c>
    </row>
    <row r="62" spans="1:6">
      <c r="A62" s="106" t="s">
        <v>128</v>
      </c>
      <c r="B62" s="85">
        <f>160000+28250</f>
        <v>188250</v>
      </c>
      <c r="C62" s="85">
        <f>100000+20000+569150.39-28250</f>
        <v>660900.39</v>
      </c>
      <c r="D62" s="85"/>
      <c r="E62" s="86">
        <f t="shared" ref="E62" si="4">SUM(B62:D62)</f>
        <v>849150.39</v>
      </c>
      <c r="F62" s="87">
        <f t="shared" si="1"/>
        <v>429473.92000000004</v>
      </c>
    </row>
    <row r="63" spans="1:6">
      <c r="A63" s="107" t="s">
        <v>129</v>
      </c>
      <c r="B63" s="88"/>
      <c r="C63" s="88">
        <f>17895.18</f>
        <v>17895.18</v>
      </c>
      <c r="D63" s="88"/>
      <c r="E63" s="89">
        <f t="shared" si="2"/>
        <v>17895.18</v>
      </c>
      <c r="F63" s="87">
        <f t="shared" si="1"/>
        <v>17895.18</v>
      </c>
    </row>
    <row r="64" spans="1:6">
      <c r="A64" s="107" t="s">
        <v>130</v>
      </c>
      <c r="B64" s="88"/>
      <c r="C64" s="88">
        <v>38994</v>
      </c>
      <c r="D64" s="88"/>
      <c r="E64" s="89">
        <f t="shared" si="2"/>
        <v>38994</v>
      </c>
      <c r="F64" s="87">
        <f t="shared" si="1"/>
        <v>8434</v>
      </c>
    </row>
    <row r="65" spans="1:6">
      <c r="A65" s="22" t="s">
        <v>131</v>
      </c>
      <c r="B65" s="88"/>
      <c r="C65" s="88"/>
      <c r="D65" s="88">
        <v>11891.69</v>
      </c>
      <c r="E65" s="89">
        <f t="shared" si="2"/>
        <v>11891.69</v>
      </c>
      <c r="F65" s="87">
        <f t="shared" si="1"/>
        <v>11891.69</v>
      </c>
    </row>
    <row r="66" spans="1:6">
      <c r="A66" s="22" t="s">
        <v>132</v>
      </c>
      <c r="B66" s="88">
        <v>51600</v>
      </c>
      <c r="C66" s="88">
        <f>65000+15000+60000+160000+200000-51600</f>
        <v>448400</v>
      </c>
      <c r="D66" s="88"/>
      <c r="E66" s="89">
        <f t="shared" si="2"/>
        <v>500000</v>
      </c>
      <c r="F66" s="87">
        <f t="shared" si="1"/>
        <v>127299.97999999998</v>
      </c>
    </row>
    <row r="67" spans="1:6">
      <c r="A67" s="22" t="s">
        <v>133</v>
      </c>
      <c r="B67" s="88"/>
      <c r="C67" s="88">
        <v>54409.45</v>
      </c>
      <c r="D67" s="88"/>
      <c r="E67" s="89">
        <f t="shared" si="2"/>
        <v>54409.45</v>
      </c>
      <c r="F67" s="87">
        <f t="shared" si="1"/>
        <v>7581.4499999999971</v>
      </c>
    </row>
    <row r="68" spans="1:6">
      <c r="A68" s="22" t="s">
        <v>134</v>
      </c>
      <c r="B68" s="88"/>
      <c r="C68" s="88">
        <f>2102.35</f>
        <v>2102.35</v>
      </c>
      <c r="D68" s="88"/>
      <c r="E68" s="89">
        <f t="shared" si="2"/>
        <v>2102.35</v>
      </c>
      <c r="F68" s="87">
        <f t="shared" si="1"/>
        <v>2102.35</v>
      </c>
    </row>
    <row r="69" spans="1:6">
      <c r="A69" s="22" t="s">
        <v>135</v>
      </c>
      <c r="B69" s="88">
        <v>18600</v>
      </c>
      <c r="C69" s="88">
        <f>78117.32+47609.86-18600</f>
        <v>107127.18000000001</v>
      </c>
      <c r="D69" s="88"/>
      <c r="E69" s="89">
        <f t="shared" si="2"/>
        <v>125727.18000000001</v>
      </c>
      <c r="F69" s="87">
        <f t="shared" si="1"/>
        <v>13668.720000000016</v>
      </c>
    </row>
    <row r="70" spans="1:6">
      <c r="A70" s="22" t="s">
        <v>136</v>
      </c>
      <c r="B70" s="88">
        <f>35420+176080</f>
        <v>211500</v>
      </c>
      <c r="C70" s="88">
        <f>112500+100000+37500+50000+150000+672545.4-176080</f>
        <v>946465.39999999991</v>
      </c>
      <c r="D70" s="88"/>
      <c r="E70" s="89">
        <f t="shared" si="2"/>
        <v>1157965.3999999999</v>
      </c>
      <c r="F70" s="87">
        <f t="shared" si="1"/>
        <v>690335.04999999993</v>
      </c>
    </row>
    <row r="71" spans="1:6">
      <c r="A71" s="22" t="s">
        <v>137</v>
      </c>
      <c r="B71" s="88">
        <f>209532+105600+17461+128095</f>
        <v>460688</v>
      </c>
      <c r="C71" s="88">
        <f>160000+14000+830000+166000</f>
        <v>1170000</v>
      </c>
      <c r="D71" s="88">
        <f>165000</f>
        <v>165000</v>
      </c>
      <c r="E71" s="89">
        <f t="shared" si="2"/>
        <v>1795688</v>
      </c>
      <c r="F71" s="87">
        <f t="shared" si="1"/>
        <v>1045739.59</v>
      </c>
    </row>
    <row r="72" spans="1:6">
      <c r="A72" s="22" t="s">
        <v>138</v>
      </c>
      <c r="B72" s="88">
        <v>165200</v>
      </c>
      <c r="C72" s="88">
        <f>150000+65000+65000+100000+164953</f>
        <v>544953</v>
      </c>
      <c r="D72" s="88"/>
      <c r="E72" s="89">
        <f t="shared" si="2"/>
        <v>710153</v>
      </c>
      <c r="F72" s="87">
        <f t="shared" si="1"/>
        <v>131611.87</v>
      </c>
    </row>
    <row r="73" spans="1:6">
      <c r="A73" s="22" t="s">
        <v>139</v>
      </c>
      <c r="B73" s="88"/>
      <c r="C73" s="88">
        <f>69669.77</f>
        <v>69669.77</v>
      </c>
      <c r="D73" s="88"/>
      <c r="E73" s="89">
        <f t="shared" si="2"/>
        <v>69669.77</v>
      </c>
      <c r="F73" s="87">
        <f t="shared" ref="F73:F84" si="5">E237</f>
        <v>69669.77</v>
      </c>
    </row>
    <row r="74" spans="1:6">
      <c r="A74" s="22" t="s">
        <v>140</v>
      </c>
      <c r="B74" s="88"/>
      <c r="C74" s="88">
        <f>3030</f>
        <v>3030</v>
      </c>
      <c r="D74" s="88"/>
      <c r="E74" s="89">
        <f t="shared" si="2"/>
        <v>3030</v>
      </c>
      <c r="F74" s="87">
        <f t="shared" si="5"/>
        <v>3030</v>
      </c>
    </row>
    <row r="75" spans="1:6">
      <c r="A75" s="22" t="s">
        <v>141</v>
      </c>
      <c r="B75" s="88"/>
      <c r="C75" s="88">
        <f>16512</f>
        <v>16512</v>
      </c>
      <c r="D75" s="88"/>
      <c r="E75" s="89">
        <f t="shared" si="2"/>
        <v>16512</v>
      </c>
      <c r="F75" s="87">
        <f t="shared" si="5"/>
        <v>16512</v>
      </c>
    </row>
    <row r="76" spans="1:6">
      <c r="A76" s="90" t="s">
        <v>142</v>
      </c>
      <c r="B76" s="88"/>
      <c r="C76" s="88">
        <v>51474.75</v>
      </c>
      <c r="D76" s="88"/>
      <c r="E76" s="89">
        <f t="shared" si="2"/>
        <v>51474.75</v>
      </c>
      <c r="F76" s="87">
        <f t="shared" si="5"/>
        <v>49290.75</v>
      </c>
    </row>
    <row r="77" spans="1:6">
      <c r="A77" s="90" t="s">
        <v>143</v>
      </c>
      <c r="B77" s="88"/>
      <c r="C77" s="88">
        <v>20901.310000000001</v>
      </c>
      <c r="D77" s="88"/>
      <c r="E77" s="89">
        <f t="shared" si="2"/>
        <v>20901.310000000001</v>
      </c>
      <c r="F77" s="87">
        <f t="shared" si="5"/>
        <v>6829.3100000000013</v>
      </c>
    </row>
    <row r="78" spans="1:6">
      <c r="A78" s="90" t="s">
        <v>144</v>
      </c>
      <c r="B78" s="88">
        <f>37500+7500+19000</f>
        <v>64000</v>
      </c>
      <c r="C78" s="88">
        <f>3000+108000+27840+37500+7500+22508+10800-19000</f>
        <v>198148</v>
      </c>
      <c r="D78" s="88"/>
      <c r="E78" s="89">
        <f>SUM(B78:D78)</f>
        <v>262148</v>
      </c>
      <c r="F78" s="87">
        <f t="shared" si="5"/>
        <v>14565.75</v>
      </c>
    </row>
    <row r="79" spans="1:6">
      <c r="A79" s="90" t="s">
        <v>145</v>
      </c>
      <c r="B79" s="88">
        <v>36000</v>
      </c>
      <c r="C79" s="88">
        <f>48000+6089-36000</f>
        <v>18089</v>
      </c>
      <c r="D79" s="88"/>
      <c r="E79" s="89">
        <f>SUM(B79:D79)</f>
        <v>54089</v>
      </c>
      <c r="F79" s="87">
        <f t="shared" si="5"/>
        <v>0</v>
      </c>
    </row>
    <row r="80" spans="1:6">
      <c r="A80" s="90" t="s">
        <v>146</v>
      </c>
      <c r="B80" s="88">
        <v>586335.44999999995</v>
      </c>
      <c r="C80" s="88">
        <f>455745.38+482866.02-586335.45</f>
        <v>352275.95000000007</v>
      </c>
      <c r="D80" s="88"/>
      <c r="E80" s="89">
        <f t="shared" si="2"/>
        <v>938611.4</v>
      </c>
      <c r="F80" s="87">
        <f t="shared" si="5"/>
        <v>188309.83000000007</v>
      </c>
    </row>
    <row r="81" spans="1:8">
      <c r="A81" s="22" t="s">
        <v>147</v>
      </c>
      <c r="B81" s="88">
        <v>21500</v>
      </c>
      <c r="C81" s="88">
        <f>137127.39+482866.02-21500</f>
        <v>598493.41</v>
      </c>
      <c r="D81" s="88"/>
      <c r="E81" s="89">
        <f t="shared" si="2"/>
        <v>619993.41</v>
      </c>
      <c r="F81" s="87">
        <f t="shared" si="5"/>
        <v>325413.41000000003</v>
      </c>
    </row>
    <row r="82" spans="1:8" ht="15.75" thickBot="1">
      <c r="A82" s="22" t="s">
        <v>148</v>
      </c>
      <c r="B82" s="91">
        <v>6600</v>
      </c>
      <c r="C82" s="91">
        <f>4450.5+21600+31600-6600</f>
        <v>51050.5</v>
      </c>
      <c r="D82" s="91"/>
      <c r="E82" s="108">
        <f t="shared" si="2"/>
        <v>57650.5</v>
      </c>
      <c r="F82" s="87">
        <f t="shared" si="5"/>
        <v>30195.5</v>
      </c>
    </row>
    <row r="83" spans="1:8" ht="15.75" thickBot="1">
      <c r="A83" s="109" t="s">
        <v>149</v>
      </c>
      <c r="B83" s="110">
        <f>SUM(B61:B82)</f>
        <v>1810273.45</v>
      </c>
      <c r="C83" s="110">
        <f>SUM(C61:C82)</f>
        <v>5544743.1699999999</v>
      </c>
      <c r="D83" s="110">
        <f>SUM(D61:D82)</f>
        <v>176891.69</v>
      </c>
      <c r="E83" s="111">
        <f>SUM(B83:D83)</f>
        <v>7531908.3100000005</v>
      </c>
      <c r="F83" s="87">
        <f t="shared" si="5"/>
        <v>3349719.5900000003</v>
      </c>
    </row>
    <row r="84" spans="1:8" ht="15.75" thickBot="1">
      <c r="A84" s="112" t="s">
        <v>150</v>
      </c>
      <c r="B84" s="83">
        <f>B83+B59+B42+B38</f>
        <v>20250740.280000001</v>
      </c>
      <c r="C84" s="83">
        <f>C83+C59+C42+C38</f>
        <v>74666991.560000002</v>
      </c>
      <c r="D84" s="83">
        <f>D83+D59+D42+D38</f>
        <v>15484026.140000001</v>
      </c>
      <c r="E84" s="83">
        <f>E83+E59+E42+E38</f>
        <v>110401757.97999999</v>
      </c>
      <c r="F84" s="87">
        <f t="shared" si="5"/>
        <v>68922604.919999987</v>
      </c>
    </row>
    <row r="85" spans="1:8">
      <c r="A85" s="113"/>
      <c r="B85" s="114"/>
      <c r="C85" s="114"/>
      <c r="H85" s="87"/>
    </row>
    <row r="86" spans="1:8" ht="15.75" thickBot="1">
      <c r="A86" s="115"/>
      <c r="B86" s="116" t="s">
        <v>151</v>
      </c>
      <c r="C86" s="114"/>
    </row>
    <row r="87" spans="1:8" ht="15.75" thickBot="1">
      <c r="A87" s="82" t="s">
        <v>72</v>
      </c>
      <c r="B87" s="83" t="s">
        <v>7</v>
      </c>
      <c r="C87" s="83" t="s">
        <v>8</v>
      </c>
      <c r="D87" s="83" t="s">
        <v>9</v>
      </c>
      <c r="E87" s="84" t="s">
        <v>10</v>
      </c>
    </row>
    <row r="88" spans="1:8" ht="15.75" thickBot="1">
      <c r="A88" s="120" t="s">
        <v>73</v>
      </c>
      <c r="B88" s="121"/>
      <c r="C88" s="121"/>
      <c r="D88" s="121"/>
      <c r="E88" s="122"/>
    </row>
    <row r="89" spans="1:8">
      <c r="A89" s="38" t="s">
        <v>74</v>
      </c>
      <c r="B89" s="85">
        <f>88110.45</f>
        <v>88110.45</v>
      </c>
      <c r="C89" s="85">
        <f>24934.42</f>
        <v>24934.42</v>
      </c>
      <c r="D89" s="85"/>
      <c r="E89" s="86">
        <f>SUM(B89:D89)</f>
        <v>113044.87</v>
      </c>
      <c r="F89" s="87"/>
    </row>
    <row r="90" spans="1:8">
      <c r="A90" s="22" t="s">
        <v>76</v>
      </c>
      <c r="B90" s="88"/>
      <c r="C90" s="88"/>
      <c r="D90" s="88">
        <f>1302335.46+959934.42</f>
        <v>2262269.88</v>
      </c>
      <c r="E90" s="89">
        <f t="shared" ref="E90:E118" si="6">SUM(B90:D90)</f>
        <v>2262269.88</v>
      </c>
      <c r="F90" s="87"/>
    </row>
    <row r="91" spans="1:8">
      <c r="A91" s="22" t="s">
        <v>77</v>
      </c>
      <c r="B91" s="88"/>
      <c r="C91" s="88"/>
      <c r="D91" s="88">
        <f>19681</f>
        <v>19681</v>
      </c>
      <c r="E91" s="89">
        <f t="shared" si="6"/>
        <v>19681</v>
      </c>
      <c r="F91" s="87"/>
    </row>
    <row r="92" spans="1:8">
      <c r="A92" s="22" t="s">
        <v>78</v>
      </c>
      <c r="B92" s="88"/>
      <c r="C92" s="88">
        <f>18000</f>
        <v>18000</v>
      </c>
      <c r="D92" s="88"/>
      <c r="E92" s="89">
        <f t="shared" si="6"/>
        <v>18000</v>
      </c>
      <c r="F92" s="87"/>
    </row>
    <row r="93" spans="1:8">
      <c r="A93" s="22" t="s">
        <v>79</v>
      </c>
      <c r="B93" s="88"/>
      <c r="C93" s="88">
        <f>46015+10750+36327.35</f>
        <v>93092.35</v>
      </c>
      <c r="D93" s="88"/>
      <c r="E93" s="89">
        <f t="shared" si="6"/>
        <v>93092.35</v>
      </c>
      <c r="F93" s="87"/>
    </row>
    <row r="94" spans="1:8">
      <c r="A94" s="22" t="s">
        <v>80</v>
      </c>
      <c r="B94" s="88"/>
      <c r="C94" s="88">
        <f>5863</f>
        <v>5863</v>
      </c>
      <c r="D94" s="88"/>
      <c r="E94" s="89">
        <f t="shared" si="6"/>
        <v>5863</v>
      </c>
      <c r="F94" s="87"/>
    </row>
    <row r="95" spans="1:8">
      <c r="A95" s="22" t="s">
        <v>81</v>
      </c>
      <c r="B95" s="88"/>
      <c r="C95" s="88"/>
      <c r="D95" s="88"/>
      <c r="E95" s="89">
        <f t="shared" si="6"/>
        <v>0</v>
      </c>
      <c r="F95" s="87"/>
    </row>
    <row r="96" spans="1:8">
      <c r="A96" s="22" t="s">
        <v>82</v>
      </c>
      <c r="B96" s="88"/>
      <c r="C96" s="88"/>
      <c r="D96" s="88"/>
      <c r="E96" s="89">
        <f t="shared" si="6"/>
        <v>0</v>
      </c>
      <c r="F96" s="87"/>
    </row>
    <row r="97" spans="1:7">
      <c r="A97" s="22" t="s">
        <v>83</v>
      </c>
      <c r="B97" s="88"/>
      <c r="C97" s="88">
        <f>2100+240-240</f>
        <v>2100</v>
      </c>
      <c r="D97" s="88"/>
      <c r="E97" s="89">
        <f t="shared" si="6"/>
        <v>2100</v>
      </c>
      <c r="F97" s="87"/>
    </row>
    <row r="98" spans="1:7">
      <c r="A98" s="22" t="s">
        <v>84</v>
      </c>
      <c r="B98" s="88">
        <f>20870+21920+35620+93720+21920+31520+84298+32970+19534.09+187900+14400+167550</f>
        <v>732222.09000000008</v>
      </c>
      <c r="C98" s="88">
        <f>71221.62+13120+5000+13858.28+37800+11356.25+9082.5+42545.83+14640+37344.28</f>
        <v>255968.75999999998</v>
      </c>
      <c r="D98" s="88">
        <f>30000+22500+120000</f>
        <v>172500</v>
      </c>
      <c r="E98" s="89">
        <f t="shared" si="6"/>
        <v>1160690.8500000001</v>
      </c>
      <c r="F98" s="87"/>
    </row>
    <row r="99" spans="1:7">
      <c r="A99" s="22" t="s">
        <v>85</v>
      </c>
      <c r="B99" s="88"/>
      <c r="C99" s="88"/>
      <c r="D99" s="88"/>
      <c r="E99" s="89">
        <f t="shared" si="6"/>
        <v>0</v>
      </c>
      <c r="F99" s="87"/>
    </row>
    <row r="100" spans="1:7">
      <c r="A100" s="22" t="s">
        <v>86</v>
      </c>
      <c r="B100" s="88">
        <f>'[1]HARRDEC Breakdown'!B466+23920+97768+18000+158670</f>
        <v>926911.92</v>
      </c>
      <c r="C100" s="88">
        <f>'[1]HARRDEC Breakdown'!C466+16751.47+194326.68+58872.41</f>
        <v>1373609.8800000001</v>
      </c>
      <c r="D100" s="88">
        <f>'[1]HARRDEC Breakdown'!D466</f>
        <v>103600</v>
      </c>
      <c r="E100" s="89">
        <f t="shared" si="6"/>
        <v>2404121.8000000003</v>
      </c>
      <c r="F100" s="87"/>
    </row>
    <row r="101" spans="1:7">
      <c r="A101" s="22" t="s">
        <v>87</v>
      </c>
      <c r="B101" s="88">
        <f>74911+20800+49540+8800+52740+24995+8800+142731+88650+24246+44415+33577.5+58740+16195+43540+206778.27+127643+78680+24246+44415+38415+58740+16195+14800+43540+20800+49540+8800+52740+24995+661380+164754.5+207114.5+137420+44519+100422.5+127622.5+137110+27292.5+29600+77110+41600+98188.9+29910+15292.5</f>
        <v>3402344.67</v>
      </c>
      <c r="C101" s="88">
        <f>139169.8+7555.2+25575.37+16029+44752.5+420+41364+5110+74699.56+45147.75+106447.75+30079.8+80728.25+230+9967.5+5162+3075.52+3303.75+8595+11722.3+202574.06+24880+32154.24-1720+245395.79-17496+361656.8+7600+15614+10597.1+40100+8986.65+31244.33+36738.74+51385.34+6194-7447-23321</f>
        <v>1684272.1000000003</v>
      </c>
      <c r="D101" s="88">
        <f>99440+19790</f>
        <v>119230</v>
      </c>
      <c r="E101" s="89">
        <f t="shared" si="6"/>
        <v>5205846.7700000005</v>
      </c>
      <c r="F101" s="87"/>
    </row>
    <row r="102" spans="1:7">
      <c r="A102" s="22" t="s">
        <v>88</v>
      </c>
      <c r="B102" s="88"/>
      <c r="C102" s="88"/>
      <c r="D102" s="88"/>
      <c r="E102" s="89">
        <f t="shared" si="6"/>
        <v>0</v>
      </c>
      <c r="F102" s="87"/>
    </row>
    <row r="103" spans="1:7">
      <c r="A103" s="90" t="s">
        <v>89</v>
      </c>
      <c r="B103" s="88">
        <f>27885+44620+47405+33585+33190+27430+55290+43313.34</f>
        <v>312718.33999999997</v>
      </c>
      <c r="C103" s="88">
        <f>21166.6+26073.5+1705.5+11380.52+28945+15113+20044.65+16250.68+1999</f>
        <v>142678.44999999998</v>
      </c>
      <c r="D103" s="88"/>
      <c r="E103" s="89">
        <f t="shared" si="6"/>
        <v>455396.78999999992</v>
      </c>
      <c r="F103" s="87"/>
    </row>
    <row r="104" spans="1:7">
      <c r="A104" s="90" t="s">
        <v>90</v>
      </c>
      <c r="B104" s="88">
        <f>32020+54920+46070+78045+21920+49220+23107.27+3500+12583.18+6000+14570+14570+29140</f>
        <v>385665.45</v>
      </c>
      <c r="C104" s="88">
        <f>12538+9615+3927.14+52880.92+67273.5+3760+14184+6659+58353.25+53350.89+240</f>
        <v>282781.7</v>
      </c>
      <c r="D104" s="88"/>
      <c r="E104" s="89">
        <f t="shared" si="6"/>
        <v>668447.15</v>
      </c>
      <c r="F104" s="87"/>
    </row>
    <row r="105" spans="1:7">
      <c r="A105" s="90" t="s">
        <v>91</v>
      </c>
      <c r="B105" s="88">
        <f>64517+24747+81617+38347+34286+25884.27+43201+17003+18874.77+8609.55+7947.27+13245.45+23841.81</f>
        <v>402121.12000000005</v>
      </c>
      <c r="C105" s="88">
        <f>127922.65+5280+27970+640+6460+47562.25+8530+2200</f>
        <v>226564.9</v>
      </c>
      <c r="D105" s="88">
        <f>15304</f>
        <v>15304</v>
      </c>
      <c r="E105" s="89">
        <f t="shared" si="6"/>
        <v>643990.02</v>
      </c>
      <c r="F105" s="87"/>
    </row>
    <row r="106" spans="1:7">
      <c r="A106" s="22" t="s">
        <v>92</v>
      </c>
      <c r="B106" s="88">
        <f>27255+20870+24020+19970+28870+29370+14570+7285+88800+4500+96305+25494</f>
        <v>387309</v>
      </c>
      <c r="C106" s="88">
        <f>15644.5+26810+1369.5+5500</f>
        <v>49324</v>
      </c>
      <c r="D106" s="88"/>
      <c r="E106" s="89">
        <f t="shared" si="6"/>
        <v>436633</v>
      </c>
      <c r="F106" s="87"/>
    </row>
    <row r="107" spans="1:7">
      <c r="A107" s="22" t="s">
        <v>93</v>
      </c>
      <c r="B107" s="88">
        <f>27255+20870+24020+19970+31670+32370+17570+13285+52800+4500</f>
        <v>244310</v>
      </c>
      <c r="C107" s="88">
        <f>24807.2+29706.48+16667</f>
        <v>71180.679999999993</v>
      </c>
      <c r="D107" s="88"/>
      <c r="E107" s="89">
        <f t="shared" si="6"/>
        <v>315490.68</v>
      </c>
      <c r="F107" s="87"/>
    </row>
    <row r="108" spans="1:7">
      <c r="A108" s="22" t="s">
        <v>94</v>
      </c>
      <c r="B108" s="88">
        <f>26400</f>
        <v>26400</v>
      </c>
      <c r="C108" s="88">
        <f>1040</f>
        <v>1040</v>
      </c>
      <c r="D108" s="88"/>
      <c r="E108" s="89">
        <f t="shared" si="6"/>
        <v>27440</v>
      </c>
      <c r="F108" s="87"/>
    </row>
    <row r="109" spans="1:7">
      <c r="A109" s="22" t="s">
        <v>95</v>
      </c>
      <c r="B109" s="88">
        <f>43586+20400+2000+7700+7000+40800+4500</f>
        <v>125986</v>
      </c>
      <c r="C109" s="88">
        <f>68517.95+2680+3104.5</f>
        <v>74302.45</v>
      </c>
      <c r="D109" s="88"/>
      <c r="E109" s="89">
        <f t="shared" si="6"/>
        <v>200288.45</v>
      </c>
      <c r="F109" s="87"/>
    </row>
    <row r="110" spans="1:7">
      <c r="A110" s="22" t="s">
        <v>96</v>
      </c>
      <c r="B110" s="88">
        <f>8800+8800+8800+8800+17600</f>
        <v>52800</v>
      </c>
      <c r="C110" s="88">
        <f>600</f>
        <v>600</v>
      </c>
      <c r="D110" s="88"/>
      <c r="E110" s="89">
        <f t="shared" si="6"/>
        <v>53400</v>
      </c>
      <c r="F110" s="87"/>
    </row>
    <row r="111" spans="1:7">
      <c r="A111" s="22" t="s">
        <v>97</v>
      </c>
      <c r="B111" s="88">
        <f>8800+16585+70300+15570+30000+59570+31140+101240+19950+38730+99340</f>
        <v>491225</v>
      </c>
      <c r="C111" s="88">
        <f>24224.75+25580+96300+19494+10508+80850+33475.24</f>
        <v>290431.99</v>
      </c>
      <c r="D111" s="88"/>
      <c r="E111" s="89">
        <f t="shared" si="6"/>
        <v>781656.99</v>
      </c>
      <c r="F111" s="87"/>
      <c r="G111" s="87"/>
    </row>
    <row r="112" spans="1:7">
      <c r="A112" s="22" t="s">
        <v>98</v>
      </c>
      <c r="B112" s="88">
        <f>31626+25626+25626+81626+53626+53626+60226+59626+120452</f>
        <v>512060</v>
      </c>
      <c r="C112" s="88">
        <f>33030+53490+31376.2+464+5787+4828+41445.35+4170+19909.75</f>
        <v>194500.3</v>
      </c>
      <c r="D112" s="88"/>
      <c r="E112" s="89">
        <f t="shared" si="6"/>
        <v>706560.3</v>
      </c>
      <c r="F112" s="87"/>
    </row>
    <row r="113" spans="1:8">
      <c r="A113" s="22" t="s">
        <v>99</v>
      </c>
      <c r="B113" s="88">
        <f>45000</f>
        <v>45000</v>
      </c>
      <c r="C113" s="88">
        <f>1630+2440+3808</f>
        <v>7878</v>
      </c>
      <c r="D113" s="88"/>
      <c r="E113" s="89">
        <f t="shared" si="6"/>
        <v>52878</v>
      </c>
      <c r="F113" s="87"/>
    </row>
    <row r="114" spans="1:8">
      <c r="A114" s="22" t="s">
        <v>100</v>
      </c>
      <c r="B114" s="88">
        <f>4900+8400+10200+3600+4500</f>
        <v>31600</v>
      </c>
      <c r="C114" s="88">
        <f>570+8660+7250+3610</f>
        <v>20090</v>
      </c>
      <c r="D114" s="88"/>
      <c r="E114" s="89">
        <f t="shared" si="6"/>
        <v>51690</v>
      </c>
      <c r="F114" s="87"/>
    </row>
    <row r="115" spans="1:8">
      <c r="A115" s="22" t="s">
        <v>101</v>
      </c>
      <c r="B115" s="88"/>
      <c r="C115" s="88"/>
      <c r="D115" s="88"/>
      <c r="E115" s="89">
        <f t="shared" si="6"/>
        <v>0</v>
      </c>
      <c r="F115" s="87"/>
    </row>
    <row r="116" spans="1:8">
      <c r="A116" s="22" t="s">
        <v>102</v>
      </c>
      <c r="B116" s="88"/>
      <c r="C116" s="88">
        <f>1685.1</f>
        <v>1685.1</v>
      </c>
      <c r="D116" s="88"/>
      <c r="E116" s="89">
        <f t="shared" si="6"/>
        <v>1685.1</v>
      </c>
      <c r="F116" s="87"/>
    </row>
    <row r="117" spans="1:8">
      <c r="A117" s="22" t="s">
        <v>103</v>
      </c>
      <c r="B117" s="88"/>
      <c r="C117" s="88">
        <f>9472.39</f>
        <v>9472.39</v>
      </c>
      <c r="D117" s="88"/>
      <c r="E117" s="89">
        <f t="shared" si="6"/>
        <v>9472.39</v>
      </c>
      <c r="F117" s="87"/>
    </row>
    <row r="118" spans="1:8" ht="15.75" thickBot="1">
      <c r="A118" s="34" t="s">
        <v>104</v>
      </c>
      <c r="B118" s="91"/>
      <c r="C118" s="91"/>
      <c r="D118" s="91"/>
      <c r="E118" s="92">
        <f t="shared" si="6"/>
        <v>0</v>
      </c>
      <c r="F118" s="87"/>
    </row>
    <row r="119" spans="1:8" ht="15.75" thickBot="1">
      <c r="A119" s="93" t="s">
        <v>105</v>
      </c>
      <c r="B119" s="83">
        <f>SUM(B89:B118)</f>
        <v>8166784.04</v>
      </c>
      <c r="C119" s="83">
        <f>SUM(C89:C118)</f>
        <v>4830370.4700000007</v>
      </c>
      <c r="D119" s="83">
        <f>SUM(D89:D118)</f>
        <v>2692584.88</v>
      </c>
      <c r="E119" s="84">
        <f>SUM(E89:E118)</f>
        <v>15689739.389999999</v>
      </c>
      <c r="F119" s="87"/>
      <c r="G119" s="117"/>
      <c r="H119" s="87"/>
    </row>
    <row r="120" spans="1:8">
      <c r="A120" s="123" t="s">
        <v>106</v>
      </c>
      <c r="B120" s="124"/>
      <c r="C120" s="124"/>
      <c r="D120" s="124"/>
      <c r="E120" s="125"/>
      <c r="F120" s="87"/>
      <c r="G120" s="87"/>
      <c r="H120" s="87"/>
    </row>
    <row r="121" spans="1:8" ht="15.75" thickBot="1">
      <c r="A121" s="126"/>
      <c r="B121" s="127"/>
      <c r="C121" s="127"/>
      <c r="D121" s="127"/>
      <c r="E121" s="128"/>
      <c r="F121" s="87"/>
      <c r="G121" s="87"/>
      <c r="H121" s="87"/>
    </row>
    <row r="122" spans="1:8" ht="15.75" thickBot="1">
      <c r="A122" s="94" t="s">
        <v>107</v>
      </c>
      <c r="B122" s="95">
        <f>'[1]scholarship breakdown'!B352</f>
        <v>64876</v>
      </c>
      <c r="C122" s="95">
        <f>'[1]scholarship breakdown'!C352</f>
        <v>12492862.770000001</v>
      </c>
      <c r="D122" s="95">
        <f>'[1]scholarship breakdown'!D352</f>
        <v>45800</v>
      </c>
      <c r="E122" s="98">
        <f>SUM(B122:D122)</f>
        <v>12603538.770000001</v>
      </c>
      <c r="F122" s="87"/>
      <c r="G122" s="87"/>
      <c r="H122" s="87"/>
    </row>
    <row r="123" spans="1:8" ht="15.75" thickBot="1">
      <c r="A123" s="99" t="s">
        <v>108</v>
      </c>
      <c r="B123" s="100">
        <f>B122</f>
        <v>64876</v>
      </c>
      <c r="C123" s="100">
        <f>C122</f>
        <v>12492862.770000001</v>
      </c>
      <c r="D123" s="100">
        <f>D122</f>
        <v>45800</v>
      </c>
      <c r="E123" s="101">
        <f>E122</f>
        <v>12603538.770000001</v>
      </c>
      <c r="F123" s="87"/>
      <c r="G123" s="87"/>
      <c r="H123" s="87"/>
    </row>
    <row r="124" spans="1:8" ht="15.75" thickBot="1">
      <c r="A124" s="129" t="s">
        <v>109</v>
      </c>
      <c r="B124" s="130"/>
      <c r="C124" s="130"/>
      <c r="D124" s="130"/>
      <c r="E124" s="131"/>
      <c r="F124" s="87"/>
      <c r="G124" s="87"/>
      <c r="H124" s="87"/>
    </row>
    <row r="125" spans="1:8">
      <c r="A125" s="17" t="s">
        <v>110</v>
      </c>
      <c r="B125" s="88">
        <f>71250+43225+45700+126125+47725+57500+127650+35525+74100</f>
        <v>628800</v>
      </c>
      <c r="C125" s="88">
        <f>4126.4+97816.44+194219.52+55799.04+23611.71+139410.13+172829.11+140861.6+813033.12+90303.26+171831.05</f>
        <v>1903841.38</v>
      </c>
      <c r="D125" s="88">
        <f>186180</f>
        <v>186180</v>
      </c>
      <c r="E125" s="89">
        <f t="shared" ref="E125:E139" si="7">SUM(B125:D125)</f>
        <v>2718821.38</v>
      </c>
      <c r="F125" s="87"/>
    </row>
    <row r="126" spans="1:8">
      <c r="A126" s="102" t="s">
        <v>111</v>
      </c>
      <c r="B126" s="88">
        <f>20000+3300+3900+3000+3000</f>
        <v>33200</v>
      </c>
      <c r="C126" s="88">
        <f>17319.8+18000+1920</f>
        <v>37239.800000000003</v>
      </c>
      <c r="D126" s="88">
        <f>16690+21850</f>
        <v>38540</v>
      </c>
      <c r="E126" s="89">
        <f t="shared" si="7"/>
        <v>108979.8</v>
      </c>
      <c r="F126" s="87"/>
    </row>
    <row r="127" spans="1:8">
      <c r="A127" s="102" t="s">
        <v>112</v>
      </c>
      <c r="B127" s="88"/>
      <c r="C127" s="88">
        <f>504841.87</f>
        <v>504841.87</v>
      </c>
      <c r="D127" s="88">
        <v>1885560.87</v>
      </c>
      <c r="E127" s="89">
        <f t="shared" si="7"/>
        <v>2390402.7400000002</v>
      </c>
      <c r="F127" s="87"/>
    </row>
    <row r="128" spans="1:8">
      <c r="A128" s="102" t="s">
        <v>113</v>
      </c>
      <c r="B128" s="88">
        <f>10000+4200+5497.26</f>
        <v>19697.260000000002</v>
      </c>
      <c r="C128" s="88">
        <f>7200+3135+22889.15+28500.75+6000+36500</f>
        <v>104224.9</v>
      </c>
      <c r="D128" s="88">
        <f>33970</f>
        <v>33970</v>
      </c>
      <c r="E128" s="89">
        <f t="shared" si="7"/>
        <v>157892.16</v>
      </c>
      <c r="F128" s="87"/>
    </row>
    <row r="129" spans="1:6">
      <c r="A129" s="102" t="s">
        <v>114</v>
      </c>
      <c r="B129" s="88"/>
      <c r="C129" s="88"/>
      <c r="D129" s="88"/>
      <c r="E129" s="89">
        <f t="shared" si="7"/>
        <v>0</v>
      </c>
      <c r="F129" s="87"/>
    </row>
    <row r="130" spans="1:6">
      <c r="A130" s="102" t="s">
        <v>115</v>
      </c>
      <c r="B130" s="88"/>
      <c r="C130" s="88">
        <f>420+3969+45698+14497+8250+3639+13362.5+18000+10801+3961</f>
        <v>122597.5</v>
      </c>
      <c r="D130" s="88"/>
      <c r="E130" s="89">
        <f t="shared" si="7"/>
        <v>122597.5</v>
      </c>
      <c r="F130" s="87"/>
    </row>
    <row r="131" spans="1:6">
      <c r="A131" s="102" t="s">
        <v>116</v>
      </c>
      <c r="B131" s="88"/>
      <c r="C131" s="88"/>
      <c r="D131" s="88"/>
      <c r="E131" s="89">
        <f t="shared" si="7"/>
        <v>0</v>
      </c>
      <c r="F131" s="87"/>
    </row>
    <row r="132" spans="1:6">
      <c r="A132" s="102" t="s">
        <v>117</v>
      </c>
      <c r="B132" s="88"/>
      <c r="C132" s="88"/>
      <c r="D132" s="88"/>
      <c r="E132" s="89">
        <f t="shared" si="7"/>
        <v>0</v>
      </c>
      <c r="F132" s="87"/>
    </row>
    <row r="133" spans="1:6">
      <c r="A133" s="22" t="s">
        <v>118</v>
      </c>
      <c r="B133" s="88">
        <f>2817+12050.5+12833+12520+13772+7199+13302.5+2504+12050.5+14085+13615+26292</f>
        <v>143040.5</v>
      </c>
      <c r="C133" s="88">
        <f>9641.25+1814+24400+1150+5160-1150</f>
        <v>41015.25</v>
      </c>
      <c r="D133" s="88"/>
      <c r="E133" s="89">
        <f t="shared" si="7"/>
        <v>184055.75</v>
      </c>
      <c r="F133" s="87"/>
    </row>
    <row r="134" spans="1:6">
      <c r="A134" s="90" t="s">
        <v>119</v>
      </c>
      <c r="B134" s="88">
        <f>3900+6600+6600+7500+6300+6300+6900+12000+10800+12600+13200+27000</f>
        <v>119700</v>
      </c>
      <c r="C134" s="88">
        <f>7720+26253.75+12900+19105.13+18927+17080+53655+3600+121359+112016.59+124565-55000</f>
        <v>462181.47</v>
      </c>
      <c r="D134" s="88">
        <f>29375.78+30580</f>
        <v>59955.78</v>
      </c>
      <c r="E134" s="89">
        <f t="shared" si="7"/>
        <v>641837.25</v>
      </c>
      <c r="F134" s="87"/>
    </row>
    <row r="135" spans="1:6">
      <c r="A135" s="22" t="s">
        <v>152</v>
      </c>
      <c r="B135" s="88">
        <f>78148.18+122652.28+49060.95+25192.73+140521.36+72219.54+4000+4000+4000+29310.46+120194.74+129036+389955.18</f>
        <v>1168291.42</v>
      </c>
      <c r="C135" s="88">
        <f>1300+70363.39+1332+21814.8+6400.85+2882.56+111084+143126.85+34468.64+106991.3</f>
        <v>499764.39</v>
      </c>
      <c r="D135" s="88">
        <v>83825</v>
      </c>
      <c r="E135" s="89">
        <f t="shared" si="7"/>
        <v>1751880.81</v>
      </c>
      <c r="F135" s="87"/>
    </row>
    <row r="136" spans="1:6">
      <c r="A136" s="103" t="s">
        <v>121</v>
      </c>
      <c r="B136" s="88"/>
      <c r="C136" s="88">
        <f>6318.39</f>
        <v>6318.39</v>
      </c>
      <c r="D136" s="88"/>
      <c r="E136" s="89">
        <f t="shared" si="7"/>
        <v>6318.39</v>
      </c>
      <c r="F136" s="87"/>
    </row>
    <row r="137" spans="1:6">
      <c r="A137" s="22" t="s">
        <v>122</v>
      </c>
      <c r="B137" s="88"/>
      <c r="C137" s="88"/>
      <c r="D137" s="88"/>
      <c r="E137" s="89">
        <f t="shared" si="7"/>
        <v>0</v>
      </c>
      <c r="F137" s="87"/>
    </row>
    <row r="138" spans="1:6">
      <c r="A138" s="22" t="s">
        <v>123</v>
      </c>
      <c r="B138" s="88"/>
      <c r="C138" s="88"/>
      <c r="D138" s="88"/>
      <c r="E138" s="89">
        <f t="shared" si="7"/>
        <v>0</v>
      </c>
      <c r="F138" s="87"/>
    </row>
    <row r="139" spans="1:6" ht="15.75" thickBot="1">
      <c r="A139" s="104" t="s">
        <v>124</v>
      </c>
      <c r="B139" s="105"/>
      <c r="C139" s="105">
        <f>293916.49+734791.62</f>
        <v>1028708.11</v>
      </c>
      <c r="D139" s="105"/>
      <c r="E139" s="89">
        <f t="shared" si="7"/>
        <v>1028708.11</v>
      </c>
      <c r="F139" s="87"/>
    </row>
    <row r="140" spans="1:6" ht="15.75" thickBot="1">
      <c r="A140" s="79" t="s">
        <v>125</v>
      </c>
      <c r="B140" s="83">
        <f>SUM(B125:B139)</f>
        <v>2112729.1799999997</v>
      </c>
      <c r="C140" s="83">
        <f>SUM(C125:C139)</f>
        <v>4710733.0600000005</v>
      </c>
      <c r="D140" s="83">
        <f>SUM(D125:D139)</f>
        <v>2288031.65</v>
      </c>
      <c r="E140" s="84">
        <f>SUM(E125:E139)</f>
        <v>9111493.8900000006</v>
      </c>
      <c r="F140" s="87"/>
    </row>
    <row r="141" spans="1:6" ht="15.75" thickBot="1">
      <c r="A141" s="129" t="s">
        <v>126</v>
      </c>
      <c r="B141" s="130"/>
      <c r="C141" s="130"/>
      <c r="D141" s="130"/>
      <c r="E141" s="131"/>
      <c r="F141" s="87"/>
    </row>
    <row r="142" spans="1:6">
      <c r="A142" s="106" t="s">
        <v>127</v>
      </c>
      <c r="B142" s="85"/>
      <c r="C142" s="85">
        <v>13982.06</v>
      </c>
      <c r="D142" s="85"/>
      <c r="E142" s="86">
        <f t="shared" ref="E142:E143" si="8">SUM(B142:D142)</f>
        <v>13982.06</v>
      </c>
      <c r="F142" s="87"/>
    </row>
    <row r="143" spans="1:6">
      <c r="A143" s="106" t="s">
        <v>128</v>
      </c>
      <c r="B143" s="85">
        <f>78000+78000+32250</f>
        <v>188250</v>
      </c>
      <c r="C143" s="85">
        <f>32537.14+36214.15+6516.9+35744+103610.22+1680+15124.06</f>
        <v>231426.47</v>
      </c>
      <c r="D143" s="85"/>
      <c r="E143" s="86">
        <f t="shared" si="8"/>
        <v>419676.47</v>
      </c>
      <c r="F143" s="87"/>
    </row>
    <row r="144" spans="1:6">
      <c r="A144" s="107" t="s">
        <v>129</v>
      </c>
      <c r="B144" s="88"/>
      <c r="C144" s="88"/>
      <c r="D144" s="88"/>
      <c r="E144" s="89">
        <f t="shared" ref="E144:E158" si="9">SUM(B144:D144)</f>
        <v>0</v>
      </c>
      <c r="F144" s="87"/>
    </row>
    <row r="145" spans="1:6">
      <c r="A145" s="107" t="s">
        <v>130</v>
      </c>
      <c r="B145" s="88"/>
      <c r="C145" s="88">
        <f>18560+12000</f>
        <v>30560</v>
      </c>
      <c r="D145" s="88"/>
      <c r="E145" s="89">
        <f t="shared" si="9"/>
        <v>30560</v>
      </c>
      <c r="F145" s="87"/>
    </row>
    <row r="146" spans="1:6">
      <c r="A146" s="22" t="s">
        <v>131</v>
      </c>
      <c r="B146" s="88"/>
      <c r="C146" s="88"/>
      <c r="D146" s="88"/>
      <c r="E146" s="89">
        <f t="shared" si="9"/>
        <v>0</v>
      </c>
      <c r="F146" s="87"/>
    </row>
    <row r="147" spans="1:6">
      <c r="A147" s="22" t="s">
        <v>132</v>
      </c>
      <c r="B147" s="88">
        <f>5100+5700+5400+8100+2700+24600</f>
        <v>51600</v>
      </c>
      <c r="C147" s="88">
        <f>5910.63+106158.25+25837+76968.58+49331.56+50594+6300</f>
        <v>321100.02</v>
      </c>
      <c r="D147" s="88"/>
      <c r="E147" s="89">
        <f t="shared" si="9"/>
        <v>372700.02</v>
      </c>
      <c r="F147" s="87"/>
    </row>
    <row r="148" spans="1:6">
      <c r="A148" s="22" t="s">
        <v>133</v>
      </c>
      <c r="B148" s="88"/>
      <c r="C148" s="88">
        <f>46828</f>
        <v>46828</v>
      </c>
      <c r="D148" s="88"/>
      <c r="E148" s="89">
        <f t="shared" si="9"/>
        <v>46828</v>
      </c>
      <c r="F148" s="87"/>
    </row>
    <row r="149" spans="1:6">
      <c r="A149" s="22" t="s">
        <v>134</v>
      </c>
      <c r="B149" s="88"/>
      <c r="C149" s="88"/>
      <c r="D149" s="88"/>
      <c r="E149" s="89">
        <f t="shared" si="9"/>
        <v>0</v>
      </c>
      <c r="F149" s="87"/>
    </row>
    <row r="150" spans="1:6">
      <c r="A150" s="22" t="s">
        <v>135</v>
      </c>
      <c r="B150" s="88">
        <f>18600</f>
        <v>18600</v>
      </c>
      <c r="C150" s="88">
        <f>12423.86+55327.6+8771+16936</f>
        <v>93458.459999999992</v>
      </c>
      <c r="D150" s="88"/>
      <c r="E150" s="89">
        <f t="shared" si="9"/>
        <v>112058.45999999999</v>
      </c>
      <c r="F150" s="87"/>
    </row>
    <row r="151" spans="1:6">
      <c r="A151" s="22" t="s">
        <v>136</v>
      </c>
      <c r="B151" s="88">
        <f>12000+13200+18300+42000+18600+36300+13200+11100+13200+7500+10500+9600+6000</f>
        <v>211500</v>
      </c>
      <c r="C151" s="88">
        <f>604+6874.85+44855.26+337.5+8550+6550+34150.1+73257.87+3643+32300+45007.77</f>
        <v>256130.34999999998</v>
      </c>
      <c r="D151" s="88"/>
      <c r="E151" s="89">
        <f t="shared" si="9"/>
        <v>467630.35</v>
      </c>
      <c r="F151" s="87"/>
    </row>
    <row r="152" spans="1:6">
      <c r="A152" s="22" t="s">
        <v>137</v>
      </c>
      <c r="B152" s="88">
        <f>17530.5+36283.73+36761+134491.5+38761+47561</f>
        <v>311388.73</v>
      </c>
      <c r="C152" s="88">
        <f>191691.25+127060.38+978.4+47239.65-2450</f>
        <v>364519.68000000005</v>
      </c>
      <c r="D152" s="88">
        <f>31600+42440</f>
        <v>74040</v>
      </c>
      <c r="E152" s="89">
        <f t="shared" si="9"/>
        <v>749948.41</v>
      </c>
      <c r="F152" s="87"/>
    </row>
    <row r="153" spans="1:6">
      <c r="A153" s="22" t="s">
        <v>138</v>
      </c>
      <c r="B153" s="88">
        <f>52200+27300</f>
        <v>79500</v>
      </c>
      <c r="C153" s="88">
        <f>109153.25+206901+38080+118930.75+9117.13+15479+1380</f>
        <v>499041.13</v>
      </c>
      <c r="D153" s="88"/>
      <c r="E153" s="89">
        <f t="shared" si="9"/>
        <v>578541.13</v>
      </c>
      <c r="F153" s="87"/>
    </row>
    <row r="154" spans="1:6">
      <c r="A154" s="22" t="s">
        <v>139</v>
      </c>
      <c r="B154" s="88"/>
      <c r="C154" s="88"/>
      <c r="D154" s="88"/>
      <c r="E154" s="89">
        <f t="shared" si="9"/>
        <v>0</v>
      </c>
      <c r="F154" s="87"/>
    </row>
    <row r="155" spans="1:6">
      <c r="A155" s="22" t="s">
        <v>140</v>
      </c>
      <c r="B155" s="88"/>
      <c r="C155" s="88"/>
      <c r="D155" s="88"/>
      <c r="E155" s="89">
        <f t="shared" si="9"/>
        <v>0</v>
      </c>
      <c r="F155" s="87"/>
    </row>
    <row r="156" spans="1:6">
      <c r="A156" s="22" t="s">
        <v>141</v>
      </c>
      <c r="B156" s="88"/>
      <c r="C156" s="88"/>
      <c r="D156" s="88"/>
      <c r="E156" s="89">
        <f t="shared" si="9"/>
        <v>0</v>
      </c>
      <c r="F156" s="87"/>
    </row>
    <row r="157" spans="1:6">
      <c r="A157" s="90" t="s">
        <v>142</v>
      </c>
      <c r="B157" s="88"/>
      <c r="C157" s="88">
        <f>2184</f>
        <v>2184</v>
      </c>
      <c r="D157" s="88"/>
      <c r="E157" s="89">
        <f t="shared" si="9"/>
        <v>2184</v>
      </c>
      <c r="F157" s="87"/>
    </row>
    <row r="158" spans="1:6">
      <c r="A158" s="90" t="s">
        <v>143</v>
      </c>
      <c r="B158" s="88"/>
      <c r="C158" s="88">
        <v>14072</v>
      </c>
      <c r="D158" s="88"/>
      <c r="E158" s="89">
        <f t="shared" si="9"/>
        <v>14072</v>
      </c>
      <c r="F158" s="87"/>
    </row>
    <row r="159" spans="1:6">
      <c r="A159" s="90" t="s">
        <v>144</v>
      </c>
      <c r="B159" s="88">
        <f>37500+7500+19000</f>
        <v>64000</v>
      </c>
      <c r="C159" s="88">
        <f>61329.43+2907.8+69908.01+19060+6000+24377.01</f>
        <v>183582.25</v>
      </c>
      <c r="D159" s="88"/>
      <c r="E159" s="89">
        <f t="shared" ref="E159:E164" si="10">SUM(B159:D159)</f>
        <v>247582.25</v>
      </c>
      <c r="F159" s="87"/>
    </row>
    <row r="160" spans="1:6">
      <c r="A160" s="90" t="s">
        <v>145</v>
      </c>
      <c r="B160" s="88">
        <f>10500+1500+1500+18000+4500</f>
        <v>36000</v>
      </c>
      <c r="C160" s="88">
        <f>6000+12089</f>
        <v>18089</v>
      </c>
      <c r="D160" s="88"/>
      <c r="E160" s="89">
        <f t="shared" si="10"/>
        <v>54089</v>
      </c>
      <c r="F160" s="87"/>
    </row>
    <row r="161" spans="1:9">
      <c r="A161" s="90" t="s">
        <v>146</v>
      </c>
      <c r="B161" s="88">
        <f>76295+45045+37170+123465.45+151480+38220+38220+76440</f>
        <v>586335.44999999995</v>
      </c>
      <c r="C161" s="88">
        <f>1181+71096.94+1920+28880.1+63138.08-2250</f>
        <v>163966.12</v>
      </c>
      <c r="D161" s="88"/>
      <c r="E161" s="89">
        <f t="shared" si="10"/>
        <v>750301.57</v>
      </c>
      <c r="F161" s="87"/>
    </row>
    <row r="162" spans="1:9">
      <c r="A162" s="22" t="s">
        <v>147</v>
      </c>
      <c r="B162" s="88">
        <f>17900+3600</f>
        <v>21500</v>
      </c>
      <c r="C162" s="88">
        <f>7500+7500+600+242510+8320+6650</f>
        <v>273080</v>
      </c>
      <c r="D162" s="88"/>
      <c r="E162" s="89">
        <f t="shared" si="10"/>
        <v>294580</v>
      </c>
      <c r="F162" s="87"/>
    </row>
    <row r="163" spans="1:9" ht="15.75" thickBot="1">
      <c r="A163" s="22" t="s">
        <v>148</v>
      </c>
      <c r="B163" s="91">
        <f>6600</f>
        <v>6600</v>
      </c>
      <c r="C163" s="91">
        <f>3225+2650+14980</f>
        <v>20855</v>
      </c>
      <c r="D163" s="91"/>
      <c r="E163" s="108">
        <f t="shared" si="10"/>
        <v>27455</v>
      </c>
      <c r="F163" s="87"/>
    </row>
    <row r="164" spans="1:9" ht="15.75" thickBot="1">
      <c r="A164" s="109" t="s">
        <v>149</v>
      </c>
      <c r="B164" s="110">
        <f>SUM(B142:B163)</f>
        <v>1575274.18</v>
      </c>
      <c r="C164" s="110">
        <f>SUM(C142:C163)</f>
        <v>2532874.54</v>
      </c>
      <c r="D164" s="110">
        <f>SUM(D142:D163)</f>
        <v>74040</v>
      </c>
      <c r="E164" s="111">
        <f t="shared" si="10"/>
        <v>4182188.7199999997</v>
      </c>
      <c r="F164" s="87"/>
      <c r="G164" s="87"/>
      <c r="H164" s="87"/>
      <c r="I164" s="87"/>
    </row>
    <row r="165" spans="1:9" ht="15.75" thickBot="1">
      <c r="A165" s="112" t="s">
        <v>150</v>
      </c>
      <c r="B165" s="83">
        <f>B164+B140+B123+B119</f>
        <v>11919663.399999999</v>
      </c>
      <c r="C165" s="83">
        <f>C164+C140+C123+C119</f>
        <v>24566840.840000004</v>
      </c>
      <c r="D165" s="83">
        <f>D164+D140+D123+D119</f>
        <v>5100456.5299999993</v>
      </c>
      <c r="E165" s="83">
        <f>E164+E140+E123+E119</f>
        <v>41586960.770000003</v>
      </c>
      <c r="F165" s="87"/>
      <c r="G165" s="87"/>
      <c r="H165" s="87"/>
      <c r="I165" s="87"/>
    </row>
    <row r="166" spans="1:9">
      <c r="E166" s="80"/>
      <c r="F166" s="87"/>
      <c r="H166" s="87"/>
    </row>
    <row r="167" spans="1:9">
      <c r="E167" s="80"/>
      <c r="F167" s="87"/>
      <c r="G167" s="87"/>
      <c r="H167" s="87"/>
    </row>
    <row r="168" spans="1:9">
      <c r="B168" s="81" t="s">
        <v>153</v>
      </c>
      <c r="F168" s="87"/>
      <c r="H168" s="87"/>
    </row>
    <row r="169" spans="1:9" ht="15.75" thickBot="1">
      <c r="F169" s="87"/>
      <c r="G169" s="87"/>
      <c r="H169" s="87"/>
    </row>
    <row r="170" spans="1:9" ht="15.75" thickBot="1">
      <c r="A170" s="82" t="s">
        <v>72</v>
      </c>
      <c r="B170" s="83" t="s">
        <v>7</v>
      </c>
      <c r="C170" s="83" t="s">
        <v>8</v>
      </c>
      <c r="D170" s="83" t="s">
        <v>9</v>
      </c>
      <c r="E170" s="84" t="s">
        <v>10</v>
      </c>
    </row>
    <row r="171" spans="1:9" ht="15.75" thickBot="1">
      <c r="A171" s="120" t="s">
        <v>73</v>
      </c>
      <c r="B171" s="121"/>
      <c r="C171" s="121"/>
      <c r="D171" s="121"/>
      <c r="E171" s="122"/>
      <c r="H171" s="87"/>
    </row>
    <row r="172" spans="1:9">
      <c r="A172" s="38" t="s">
        <v>74</v>
      </c>
      <c r="B172" s="85"/>
      <c r="C172" s="85">
        <f>C8-C89</f>
        <v>0</v>
      </c>
      <c r="D172" s="85"/>
      <c r="E172" s="86">
        <f>SUM(B172:D172)</f>
        <v>0</v>
      </c>
      <c r="F172" s="87"/>
      <c r="G172" s="87"/>
      <c r="H172" s="87"/>
    </row>
    <row r="173" spans="1:9">
      <c r="A173" s="22" t="s">
        <v>76</v>
      </c>
      <c r="B173" s="85"/>
      <c r="C173" s="85"/>
      <c r="D173" s="85">
        <f>D9-D90</f>
        <v>0</v>
      </c>
      <c r="E173" s="89">
        <f t="shared" ref="E173:E201" si="11">SUM(B173:D173)</f>
        <v>0</v>
      </c>
      <c r="F173" s="87"/>
      <c r="G173" s="87"/>
    </row>
    <row r="174" spans="1:9">
      <c r="A174" s="22" t="s">
        <v>77</v>
      </c>
      <c r="B174" s="85"/>
      <c r="C174" s="85">
        <f t="shared" ref="C174:C201" si="12">C10-C91</f>
        <v>1237.6100000000006</v>
      </c>
      <c r="D174" s="85">
        <f>D10-D91</f>
        <v>0</v>
      </c>
      <c r="E174" s="89">
        <f t="shared" si="11"/>
        <v>1237.6100000000006</v>
      </c>
      <c r="F174" s="87"/>
    </row>
    <row r="175" spans="1:9">
      <c r="A175" s="22" t="s">
        <v>78</v>
      </c>
      <c r="B175" s="85"/>
      <c r="C175" s="85">
        <f t="shared" si="12"/>
        <v>898874.32</v>
      </c>
      <c r="D175" s="85"/>
      <c r="E175" s="89">
        <f t="shared" si="11"/>
        <v>898874.32</v>
      </c>
      <c r="F175" s="87"/>
      <c r="G175" s="87"/>
    </row>
    <row r="176" spans="1:9">
      <c r="A176" s="22" t="s">
        <v>79</v>
      </c>
      <c r="B176" s="85"/>
      <c r="C176" s="85">
        <f t="shared" si="12"/>
        <v>266803.23</v>
      </c>
      <c r="D176" s="85"/>
      <c r="E176" s="89">
        <f t="shared" si="11"/>
        <v>266803.23</v>
      </c>
      <c r="F176" s="87"/>
    </row>
    <row r="177" spans="1:6">
      <c r="A177" s="22" t="s">
        <v>80</v>
      </c>
      <c r="B177" s="85"/>
      <c r="C177" s="85">
        <f t="shared" si="12"/>
        <v>19679.53</v>
      </c>
      <c r="D177" s="85"/>
      <c r="E177" s="89">
        <f t="shared" si="11"/>
        <v>19679.53</v>
      </c>
      <c r="F177" s="87"/>
    </row>
    <row r="178" spans="1:6">
      <c r="A178" s="22" t="s">
        <v>81</v>
      </c>
      <c r="B178" s="85"/>
      <c r="C178" s="85">
        <f t="shared" si="12"/>
        <v>856272.94</v>
      </c>
      <c r="D178" s="85"/>
      <c r="E178" s="89">
        <f t="shared" si="11"/>
        <v>856272.94</v>
      </c>
      <c r="F178" s="87"/>
    </row>
    <row r="179" spans="1:6">
      <c r="A179" s="22" t="s">
        <v>82</v>
      </c>
      <c r="B179" s="85"/>
      <c r="C179" s="85">
        <f t="shared" si="12"/>
        <v>127854.36</v>
      </c>
      <c r="D179" s="85"/>
      <c r="E179" s="89">
        <f t="shared" si="11"/>
        <v>127854.36</v>
      </c>
      <c r="F179" s="87"/>
    </row>
    <row r="180" spans="1:6">
      <c r="A180" s="22" t="s">
        <v>83</v>
      </c>
      <c r="B180" s="85"/>
      <c r="C180" s="85">
        <f t="shared" si="12"/>
        <v>162751.57</v>
      </c>
      <c r="D180" s="85"/>
      <c r="E180" s="89">
        <f t="shared" si="11"/>
        <v>162751.57</v>
      </c>
      <c r="F180" s="87"/>
    </row>
    <row r="181" spans="1:6">
      <c r="A181" s="22" t="s">
        <v>84</v>
      </c>
      <c r="B181" s="85"/>
      <c r="C181" s="85">
        <f t="shared" si="12"/>
        <v>1430685.0399999998</v>
      </c>
      <c r="D181" s="85">
        <f>D17-D98</f>
        <v>107500</v>
      </c>
      <c r="E181" s="89">
        <f t="shared" si="11"/>
        <v>1538185.0399999998</v>
      </c>
      <c r="F181" s="87"/>
    </row>
    <row r="182" spans="1:6">
      <c r="A182" s="22" t="s">
        <v>85</v>
      </c>
      <c r="B182" s="85">
        <f>B18-B99</f>
        <v>10539</v>
      </c>
      <c r="C182" s="85">
        <f t="shared" si="12"/>
        <v>51306.080000000002</v>
      </c>
      <c r="D182" s="85"/>
      <c r="E182" s="89">
        <f t="shared" si="11"/>
        <v>61845.08</v>
      </c>
      <c r="F182" s="87"/>
    </row>
    <row r="183" spans="1:6">
      <c r="A183" s="22" t="s">
        <v>86</v>
      </c>
      <c r="B183" s="85"/>
      <c r="C183" s="85">
        <f t="shared" si="12"/>
        <v>272678.55999999982</v>
      </c>
      <c r="D183" s="85">
        <f>D19-D100</f>
        <v>896400</v>
      </c>
      <c r="E183" s="89">
        <f t="shared" si="11"/>
        <v>1169078.5599999998</v>
      </c>
      <c r="F183" s="87"/>
    </row>
    <row r="184" spans="1:6">
      <c r="A184" s="22" t="s">
        <v>87</v>
      </c>
      <c r="B184" s="85">
        <f>B20-B101</f>
        <v>5604441.2300000004</v>
      </c>
      <c r="C184" s="85">
        <f t="shared" si="12"/>
        <v>6189711.8999999994</v>
      </c>
      <c r="D184" s="85"/>
      <c r="E184" s="89">
        <f t="shared" si="11"/>
        <v>11794153.129999999</v>
      </c>
      <c r="F184" s="87"/>
    </row>
    <row r="185" spans="1:6">
      <c r="A185" s="22" t="s">
        <v>88</v>
      </c>
      <c r="B185" s="85"/>
      <c r="C185" s="85">
        <f t="shared" si="12"/>
        <v>152356.48000000001</v>
      </c>
      <c r="D185" s="85"/>
      <c r="E185" s="89">
        <f t="shared" si="11"/>
        <v>152356.48000000001</v>
      </c>
      <c r="F185" s="87"/>
    </row>
    <row r="186" spans="1:6">
      <c r="A186" s="90" t="s">
        <v>89</v>
      </c>
      <c r="B186" s="85">
        <f t="shared" ref="B186:B194" si="13">B22-B103</f>
        <v>90022.330000000075</v>
      </c>
      <c r="C186" s="85">
        <f t="shared" si="12"/>
        <v>247028.13000000003</v>
      </c>
      <c r="D186" s="85"/>
      <c r="E186" s="89">
        <f t="shared" si="11"/>
        <v>337050.46000000008</v>
      </c>
      <c r="F186" s="87"/>
    </row>
    <row r="187" spans="1:6">
      <c r="A187" s="90" t="s">
        <v>90</v>
      </c>
      <c r="B187" s="85">
        <f t="shared" si="13"/>
        <v>80434.549999999988</v>
      </c>
      <c r="C187" s="85">
        <f t="shared" si="12"/>
        <v>896717.01</v>
      </c>
      <c r="D187" s="85"/>
      <c r="E187" s="89">
        <f t="shared" si="11"/>
        <v>977151.56</v>
      </c>
      <c r="F187" s="87"/>
    </row>
    <row r="188" spans="1:6">
      <c r="A188" s="90" t="s">
        <v>91</v>
      </c>
      <c r="B188" s="85">
        <f t="shared" si="13"/>
        <v>60393.809999999939</v>
      </c>
      <c r="C188" s="85">
        <f t="shared" si="12"/>
        <v>268362.93000000005</v>
      </c>
      <c r="D188" s="85"/>
      <c r="E188" s="89">
        <f t="shared" si="11"/>
        <v>328756.74</v>
      </c>
      <c r="F188" s="87"/>
    </row>
    <row r="189" spans="1:6">
      <c r="A189" s="22" t="s">
        <v>92</v>
      </c>
      <c r="B189" s="85">
        <f t="shared" si="13"/>
        <v>68050</v>
      </c>
      <c r="C189" s="85">
        <f t="shared" si="12"/>
        <v>199194.06</v>
      </c>
      <c r="D189" s="85">
        <f>D25-D106</f>
        <v>111000</v>
      </c>
      <c r="E189" s="89">
        <f t="shared" si="11"/>
        <v>378244.06</v>
      </c>
      <c r="F189" s="87"/>
    </row>
    <row r="190" spans="1:6">
      <c r="A190" s="22" t="s">
        <v>93</v>
      </c>
      <c r="B190" s="85">
        <f t="shared" si="13"/>
        <v>221254</v>
      </c>
      <c r="C190" s="85">
        <f t="shared" si="12"/>
        <v>386346.22000000003</v>
      </c>
      <c r="D190" s="85">
        <f>D26-D107</f>
        <v>53000</v>
      </c>
      <c r="E190" s="89">
        <f t="shared" si="11"/>
        <v>660600.22</v>
      </c>
      <c r="F190" s="87"/>
    </row>
    <row r="191" spans="1:6">
      <c r="A191" s="22" t="s">
        <v>94</v>
      </c>
      <c r="B191" s="85">
        <f t="shared" si="13"/>
        <v>361790</v>
      </c>
      <c r="C191" s="85">
        <f t="shared" si="12"/>
        <v>92417.67</v>
      </c>
      <c r="D191" s="85">
        <f>D27-D108</f>
        <v>73000</v>
      </c>
      <c r="E191" s="89">
        <f t="shared" si="11"/>
        <v>527207.66999999993</v>
      </c>
      <c r="F191" s="87"/>
    </row>
    <row r="192" spans="1:6">
      <c r="A192" s="22" t="s">
        <v>95</v>
      </c>
      <c r="B192" s="85">
        <f t="shared" si="13"/>
        <v>128369</v>
      </c>
      <c r="C192" s="85">
        <f t="shared" si="12"/>
        <v>272697.55</v>
      </c>
      <c r="D192" s="85">
        <f>D28-D109</f>
        <v>40000</v>
      </c>
      <c r="E192" s="89">
        <f t="shared" si="11"/>
        <v>441066.55</v>
      </c>
      <c r="F192" s="87"/>
    </row>
    <row r="193" spans="1:8">
      <c r="A193" s="22" t="s">
        <v>96</v>
      </c>
      <c r="B193" s="85">
        <f t="shared" si="13"/>
        <v>414202</v>
      </c>
      <c r="C193" s="85">
        <f t="shared" si="12"/>
        <v>830441</v>
      </c>
      <c r="D193" s="85"/>
      <c r="E193" s="89">
        <f t="shared" si="11"/>
        <v>1244643</v>
      </c>
      <c r="F193" s="87"/>
    </row>
    <row r="194" spans="1:8">
      <c r="A194" s="22" t="s">
        <v>97</v>
      </c>
      <c r="B194" s="85">
        <f t="shared" si="13"/>
        <v>33490</v>
      </c>
      <c r="C194" s="85">
        <f t="shared" si="12"/>
        <v>364128.01</v>
      </c>
      <c r="D194" s="85"/>
      <c r="E194" s="89">
        <f t="shared" si="11"/>
        <v>397618.01</v>
      </c>
      <c r="F194" s="87"/>
    </row>
    <row r="195" spans="1:8">
      <c r="A195" s="22" t="s">
        <v>98</v>
      </c>
      <c r="B195" s="85"/>
      <c r="C195" s="85">
        <f t="shared" si="12"/>
        <v>237689.7</v>
      </c>
      <c r="D195" s="85">
        <f>D31-D112</f>
        <v>220000</v>
      </c>
      <c r="E195" s="89">
        <f t="shared" si="11"/>
        <v>457689.7</v>
      </c>
      <c r="F195" s="87"/>
    </row>
    <row r="196" spans="1:8">
      <c r="A196" s="22" t="s">
        <v>99</v>
      </c>
      <c r="B196" s="85"/>
      <c r="C196" s="85">
        <f t="shared" si="12"/>
        <v>2269.5</v>
      </c>
      <c r="D196" s="85"/>
      <c r="E196" s="89">
        <f t="shared" si="11"/>
        <v>2269.5</v>
      </c>
      <c r="F196" s="87"/>
    </row>
    <row r="197" spans="1:8">
      <c r="A197" s="22" t="s">
        <v>100</v>
      </c>
      <c r="B197" s="85"/>
      <c r="C197" s="85">
        <f t="shared" si="12"/>
        <v>2026.2200000000012</v>
      </c>
      <c r="D197" s="85"/>
      <c r="E197" s="89">
        <f t="shared" si="11"/>
        <v>2026.2200000000012</v>
      </c>
      <c r="F197" s="87"/>
    </row>
    <row r="198" spans="1:8">
      <c r="A198" s="22" t="s">
        <v>101</v>
      </c>
      <c r="B198" s="85"/>
      <c r="C198" s="85">
        <f t="shared" si="12"/>
        <v>852157.97</v>
      </c>
      <c r="D198" s="85"/>
      <c r="E198" s="89">
        <f t="shared" si="11"/>
        <v>852157.97</v>
      </c>
      <c r="F198" s="87"/>
    </row>
    <row r="199" spans="1:8">
      <c r="A199" s="22" t="s">
        <v>102</v>
      </c>
      <c r="B199" s="85"/>
      <c r="C199" s="85">
        <f t="shared" si="12"/>
        <v>33717.33</v>
      </c>
      <c r="D199" s="85"/>
      <c r="E199" s="89">
        <f t="shared" si="11"/>
        <v>33717.33</v>
      </c>
      <c r="F199" s="87"/>
    </row>
    <row r="200" spans="1:8">
      <c r="A200" s="22" t="s">
        <v>103</v>
      </c>
      <c r="B200" s="85"/>
      <c r="C200" s="85">
        <f t="shared" si="12"/>
        <v>2720.2700000000004</v>
      </c>
      <c r="D200" s="85"/>
      <c r="E200" s="89">
        <f t="shared" si="11"/>
        <v>2720.2700000000004</v>
      </c>
      <c r="F200" s="87"/>
    </row>
    <row r="201" spans="1:8" ht="15.75" thickBot="1">
      <c r="A201" s="34" t="s">
        <v>104</v>
      </c>
      <c r="B201" s="85"/>
      <c r="C201" s="85">
        <f t="shared" si="12"/>
        <v>48825.17</v>
      </c>
      <c r="D201" s="85"/>
      <c r="E201" s="92">
        <f t="shared" si="11"/>
        <v>48825.17</v>
      </c>
      <c r="F201" s="87"/>
    </row>
    <row r="202" spans="1:8" ht="15.75" thickBot="1">
      <c r="A202" s="93" t="s">
        <v>105</v>
      </c>
      <c r="B202" s="83">
        <f>SUM(B172:B201)</f>
        <v>7072985.9199999999</v>
      </c>
      <c r="C202" s="83">
        <f>SUM(C172:C201)</f>
        <v>15166950.360000001</v>
      </c>
      <c r="D202" s="83">
        <f>SUM(D172:D201)</f>
        <v>1500900</v>
      </c>
      <c r="E202" s="84">
        <f>SUM(E172:E201)</f>
        <v>23740836.279999994</v>
      </c>
      <c r="F202" s="87"/>
    </row>
    <row r="203" spans="1:8">
      <c r="A203" s="123" t="s">
        <v>106</v>
      </c>
      <c r="B203" s="124"/>
      <c r="C203" s="124"/>
      <c r="D203" s="124"/>
      <c r="E203" s="125"/>
      <c r="F203" s="87"/>
      <c r="G203" s="87"/>
      <c r="H203" s="87"/>
    </row>
    <row r="204" spans="1:8" ht="15.75" thickBot="1">
      <c r="A204" s="126"/>
      <c r="B204" s="127"/>
      <c r="C204" s="127"/>
      <c r="D204" s="127"/>
      <c r="E204" s="128"/>
      <c r="F204" s="87"/>
      <c r="G204" s="87"/>
      <c r="H204" s="87"/>
    </row>
    <row r="205" spans="1:8" ht="15.75" thickBot="1">
      <c r="A205" s="94" t="s">
        <v>107</v>
      </c>
      <c r="B205" s="95"/>
      <c r="C205" s="95">
        <f>C41-C122</f>
        <v>25597725.119999997</v>
      </c>
      <c r="D205" s="95"/>
      <c r="E205" s="98">
        <f>SUM(B205:D205)</f>
        <v>25597725.119999997</v>
      </c>
      <c r="F205" s="87"/>
      <c r="G205" s="87"/>
      <c r="H205" s="87"/>
    </row>
    <row r="206" spans="1:8" ht="15.75" thickBot="1">
      <c r="A206" s="99" t="s">
        <v>108</v>
      </c>
      <c r="B206" s="100"/>
      <c r="C206" s="100">
        <f t="shared" ref="C206" si="14">C205</f>
        <v>25597725.119999997</v>
      </c>
      <c r="D206" s="100"/>
      <c r="E206" s="101">
        <f>E205</f>
        <v>25597725.119999997</v>
      </c>
      <c r="F206" s="87"/>
      <c r="G206" s="87"/>
      <c r="H206" s="87"/>
    </row>
    <row r="207" spans="1:8" ht="15.75" thickBot="1">
      <c r="A207" s="129" t="s">
        <v>109</v>
      </c>
      <c r="B207" s="130"/>
      <c r="C207" s="130"/>
      <c r="D207" s="130"/>
      <c r="E207" s="131"/>
      <c r="F207" s="87"/>
      <c r="G207" s="87"/>
      <c r="H207" s="87"/>
    </row>
    <row r="208" spans="1:8">
      <c r="A208" s="17" t="s">
        <v>110</v>
      </c>
      <c r="B208" s="88">
        <f t="shared" ref="B208:D210" si="15">B44-B125</f>
        <v>877023.89999999991</v>
      </c>
      <c r="C208" s="88">
        <f t="shared" si="15"/>
        <v>386807.2200000002</v>
      </c>
      <c r="D208" s="88">
        <f t="shared" si="15"/>
        <v>169640</v>
      </c>
      <c r="E208" s="89">
        <f t="shared" ref="E208:E222" si="16">SUM(B208:D208)</f>
        <v>1433471.12</v>
      </c>
      <c r="F208" s="87"/>
    </row>
    <row r="209" spans="1:6">
      <c r="A209" s="102" t="s">
        <v>111</v>
      </c>
      <c r="B209" s="88"/>
      <c r="C209" s="88">
        <f t="shared" si="15"/>
        <v>10780.199999999997</v>
      </c>
      <c r="D209" s="88"/>
      <c r="E209" s="89">
        <f t="shared" si="16"/>
        <v>10780.199999999997</v>
      </c>
      <c r="F209" s="87"/>
    </row>
    <row r="210" spans="1:6">
      <c r="A210" s="102" t="s">
        <v>112</v>
      </c>
      <c r="B210" s="88"/>
      <c r="C210" s="88">
        <f t="shared" si="15"/>
        <v>1177964.3700000001</v>
      </c>
      <c r="D210" s="88">
        <f t="shared" si="15"/>
        <v>7944146.1399999997</v>
      </c>
      <c r="E210" s="89">
        <f t="shared" si="16"/>
        <v>9122110.5099999998</v>
      </c>
      <c r="F210" s="87"/>
    </row>
    <row r="211" spans="1:6">
      <c r="A211" s="102" t="s">
        <v>113</v>
      </c>
      <c r="B211" s="88"/>
      <c r="C211" s="88">
        <f>C47-C128</f>
        <v>90449.170000000013</v>
      </c>
      <c r="D211" s="88">
        <f>D47-D128</f>
        <v>12230</v>
      </c>
      <c r="E211" s="89">
        <f t="shared" si="16"/>
        <v>102679.17000000001</v>
      </c>
      <c r="F211" s="87"/>
    </row>
    <row r="212" spans="1:6">
      <c r="A212" s="102" t="s">
        <v>114</v>
      </c>
      <c r="B212" s="88"/>
      <c r="C212" s="88">
        <f t="shared" ref="C212:C222" si="17">C48-C129</f>
        <v>15553</v>
      </c>
      <c r="D212" s="88"/>
      <c r="E212" s="89">
        <f t="shared" si="16"/>
        <v>15553</v>
      </c>
      <c r="F212" s="87"/>
    </row>
    <row r="213" spans="1:6">
      <c r="A213" s="102" t="s">
        <v>115</v>
      </c>
      <c r="B213" s="88"/>
      <c r="C213" s="88">
        <f t="shared" si="17"/>
        <v>780735.48</v>
      </c>
      <c r="D213" s="88"/>
      <c r="E213" s="89">
        <f t="shared" si="16"/>
        <v>780735.48</v>
      </c>
      <c r="F213" s="87"/>
    </row>
    <row r="214" spans="1:6">
      <c r="A214" s="102" t="s">
        <v>116</v>
      </c>
      <c r="B214" s="88"/>
      <c r="C214" s="88">
        <f t="shared" si="17"/>
        <v>59666.48</v>
      </c>
      <c r="D214" s="88"/>
      <c r="E214" s="89">
        <f t="shared" si="16"/>
        <v>59666.48</v>
      </c>
      <c r="F214" s="87"/>
    </row>
    <row r="215" spans="1:6">
      <c r="A215" s="102" t="s">
        <v>117</v>
      </c>
      <c r="B215" s="88"/>
      <c r="C215" s="88">
        <f t="shared" si="17"/>
        <v>264451.8</v>
      </c>
      <c r="D215" s="88">
        <f>D51-D132</f>
        <v>150000</v>
      </c>
      <c r="E215" s="89">
        <f t="shared" si="16"/>
        <v>414451.8</v>
      </c>
      <c r="F215" s="87"/>
    </row>
    <row r="216" spans="1:6">
      <c r="A216" s="22" t="s">
        <v>118</v>
      </c>
      <c r="B216" s="88">
        <f>B52-B133</f>
        <v>6959.5</v>
      </c>
      <c r="C216" s="88">
        <f t="shared" si="17"/>
        <v>208701.83</v>
      </c>
      <c r="D216" s="88"/>
      <c r="E216" s="89">
        <f t="shared" si="16"/>
        <v>215661.33</v>
      </c>
      <c r="F216" s="87"/>
    </row>
    <row r="217" spans="1:6">
      <c r="A217" s="90" t="s">
        <v>119</v>
      </c>
      <c r="B217" s="88">
        <f>B53-B134</f>
        <v>246916</v>
      </c>
      <c r="C217" s="88"/>
      <c r="D217" s="88">
        <f>D53-D134</f>
        <v>154626.78</v>
      </c>
      <c r="E217" s="89">
        <f t="shared" si="16"/>
        <v>401542.78</v>
      </c>
      <c r="F217" s="87"/>
    </row>
    <row r="218" spans="1:6">
      <c r="A218" s="22" t="s">
        <v>120</v>
      </c>
      <c r="B218" s="88"/>
      <c r="C218" s="88">
        <f t="shared" si="17"/>
        <v>1031219.1900000001</v>
      </c>
      <c r="D218" s="88">
        <f>D54-D135</f>
        <v>349175</v>
      </c>
      <c r="E218" s="89">
        <f t="shared" si="16"/>
        <v>1380394.19</v>
      </c>
      <c r="F218" s="87"/>
    </row>
    <row r="219" spans="1:6">
      <c r="A219" s="103" t="s">
        <v>121</v>
      </c>
      <c r="B219" s="88"/>
      <c r="C219" s="88">
        <f t="shared" si="17"/>
        <v>67576.58</v>
      </c>
      <c r="D219" s="88"/>
      <c r="E219" s="89">
        <f t="shared" si="16"/>
        <v>67576.58</v>
      </c>
      <c r="F219" s="87"/>
    </row>
    <row r="220" spans="1:6">
      <c r="A220" s="22" t="s">
        <v>122</v>
      </c>
      <c r="B220" s="88"/>
      <c r="C220" s="88">
        <f t="shared" si="17"/>
        <v>6841.8</v>
      </c>
      <c r="D220" s="88"/>
      <c r="E220" s="89">
        <f t="shared" si="16"/>
        <v>6841.8</v>
      </c>
      <c r="F220" s="87"/>
    </row>
    <row r="221" spans="1:6">
      <c r="A221" s="22" t="s">
        <v>123</v>
      </c>
      <c r="B221" s="88"/>
      <c r="C221" s="88">
        <f t="shared" si="17"/>
        <v>480608.5</v>
      </c>
      <c r="D221" s="88"/>
      <c r="E221" s="92">
        <f t="shared" si="16"/>
        <v>480608.5</v>
      </c>
      <c r="F221" s="87"/>
    </row>
    <row r="222" spans="1:6" ht="15.75" thickBot="1">
      <c r="A222" s="104" t="s">
        <v>124</v>
      </c>
      <c r="B222" s="88"/>
      <c r="C222" s="88">
        <f t="shared" si="17"/>
        <v>1742250.9900000002</v>
      </c>
      <c r="D222" s="88"/>
      <c r="E222" s="92">
        <f t="shared" si="16"/>
        <v>1742250.9900000002</v>
      </c>
      <c r="F222" s="87"/>
    </row>
    <row r="223" spans="1:6" ht="15.75" thickBot="1">
      <c r="A223" s="79" t="s">
        <v>125</v>
      </c>
      <c r="B223" s="83">
        <f>SUM(B208:B222)</f>
        <v>1130899.3999999999</v>
      </c>
      <c r="C223" s="83">
        <f>SUM(C208:C222)</f>
        <v>6323606.6100000003</v>
      </c>
      <c r="D223" s="83">
        <f>SUM(D208:D222)</f>
        <v>8779817.9199999999</v>
      </c>
      <c r="E223" s="84">
        <f>SUM(E208:E222)</f>
        <v>16234323.930000002</v>
      </c>
      <c r="F223" s="87"/>
    </row>
    <row r="224" spans="1:6" ht="15.75" thickBot="1">
      <c r="A224" s="129" t="s">
        <v>126</v>
      </c>
      <c r="B224" s="130"/>
      <c r="C224" s="130"/>
      <c r="D224" s="130"/>
      <c r="E224" s="131"/>
      <c r="F224" s="87"/>
    </row>
    <row r="225" spans="1:6">
      <c r="A225" s="106" t="s">
        <v>127</v>
      </c>
      <c r="B225" s="85"/>
      <c r="C225" s="85">
        <f>C61-C142</f>
        <v>159869.47</v>
      </c>
      <c r="D225" s="85"/>
      <c r="E225" s="86">
        <f t="shared" ref="E225:E247" si="18">SUM(B225:D225)</f>
        <v>159869.47</v>
      </c>
      <c r="F225" s="87"/>
    </row>
    <row r="226" spans="1:6">
      <c r="A226" s="106" t="s">
        <v>128</v>
      </c>
      <c r="B226" s="85"/>
      <c r="C226" s="85">
        <f>C62-C143</f>
        <v>429473.92000000004</v>
      </c>
      <c r="D226" s="85"/>
      <c r="E226" s="86">
        <f t="shared" si="18"/>
        <v>429473.92000000004</v>
      </c>
      <c r="F226" s="87"/>
    </row>
    <row r="227" spans="1:6">
      <c r="A227" s="107" t="s">
        <v>129</v>
      </c>
      <c r="B227" s="85"/>
      <c r="C227" s="85">
        <f>C63-C144</f>
        <v>17895.18</v>
      </c>
      <c r="D227" s="85"/>
      <c r="E227" s="89">
        <f t="shared" si="18"/>
        <v>17895.18</v>
      </c>
      <c r="F227" s="87"/>
    </row>
    <row r="228" spans="1:6">
      <c r="A228" s="107" t="s">
        <v>130</v>
      </c>
      <c r="B228" s="85"/>
      <c r="C228" s="85">
        <f>C64-C145</f>
        <v>8434</v>
      </c>
      <c r="D228" s="85"/>
      <c r="E228" s="89">
        <f t="shared" si="18"/>
        <v>8434</v>
      </c>
      <c r="F228" s="87"/>
    </row>
    <row r="229" spans="1:6">
      <c r="A229" s="22" t="s">
        <v>131</v>
      </c>
      <c r="B229" s="85"/>
      <c r="C229" s="85"/>
      <c r="D229" s="85">
        <f>D65-D146</f>
        <v>11891.69</v>
      </c>
      <c r="E229" s="89">
        <f t="shared" si="18"/>
        <v>11891.69</v>
      </c>
      <c r="F229" s="87"/>
    </row>
    <row r="230" spans="1:6">
      <c r="A230" s="22" t="s">
        <v>132</v>
      </c>
      <c r="B230" s="85"/>
      <c r="C230" s="85">
        <f>C66-C147</f>
        <v>127299.97999999998</v>
      </c>
      <c r="D230" s="85"/>
      <c r="E230" s="89">
        <f t="shared" si="18"/>
        <v>127299.97999999998</v>
      </c>
      <c r="F230" s="87"/>
    </row>
    <row r="231" spans="1:6">
      <c r="A231" s="22" t="s">
        <v>133</v>
      </c>
      <c r="B231" s="85"/>
      <c r="C231" s="85">
        <f>C67-C148</f>
        <v>7581.4499999999971</v>
      </c>
      <c r="D231" s="85"/>
      <c r="E231" s="89">
        <f t="shared" si="18"/>
        <v>7581.4499999999971</v>
      </c>
      <c r="F231" s="87"/>
    </row>
    <row r="232" spans="1:6">
      <c r="A232" s="22" t="s">
        <v>134</v>
      </c>
      <c r="B232" s="85"/>
      <c r="C232" s="85">
        <f t="shared" ref="C232:C246" si="19">C68-C149</f>
        <v>2102.35</v>
      </c>
      <c r="D232" s="85"/>
      <c r="E232" s="89">
        <f t="shared" si="18"/>
        <v>2102.35</v>
      </c>
      <c r="F232" s="87"/>
    </row>
    <row r="233" spans="1:6">
      <c r="A233" s="22" t="s">
        <v>135</v>
      </c>
      <c r="B233" s="85"/>
      <c r="C233" s="85">
        <f t="shared" si="19"/>
        <v>13668.720000000016</v>
      </c>
      <c r="D233" s="85"/>
      <c r="E233" s="89">
        <f t="shared" si="18"/>
        <v>13668.720000000016</v>
      </c>
      <c r="F233" s="87"/>
    </row>
    <row r="234" spans="1:6">
      <c r="A234" s="22" t="s">
        <v>136</v>
      </c>
      <c r="B234" s="85"/>
      <c r="C234" s="85">
        <f t="shared" si="19"/>
        <v>690335.04999999993</v>
      </c>
      <c r="D234" s="85"/>
      <c r="E234" s="89">
        <f t="shared" si="18"/>
        <v>690335.04999999993</v>
      </c>
      <c r="F234" s="87"/>
    </row>
    <row r="235" spans="1:6">
      <c r="A235" s="22" t="s">
        <v>137</v>
      </c>
      <c r="B235" s="85">
        <f>B71-B152</f>
        <v>149299.27000000002</v>
      </c>
      <c r="C235" s="85">
        <f t="shared" si="19"/>
        <v>805480.32</v>
      </c>
      <c r="D235" s="85">
        <f>D71-D152</f>
        <v>90960</v>
      </c>
      <c r="E235" s="89">
        <f t="shared" si="18"/>
        <v>1045739.59</v>
      </c>
      <c r="F235" s="87"/>
    </row>
    <row r="236" spans="1:6">
      <c r="A236" s="22" t="s">
        <v>138</v>
      </c>
      <c r="B236" s="85">
        <f>B72-B153</f>
        <v>85700</v>
      </c>
      <c r="C236" s="85">
        <f t="shared" si="19"/>
        <v>45911.869999999995</v>
      </c>
      <c r="D236" s="85"/>
      <c r="E236" s="89">
        <f t="shared" si="18"/>
        <v>131611.87</v>
      </c>
      <c r="F236" s="87"/>
    </row>
    <row r="237" spans="1:6">
      <c r="A237" s="22" t="s">
        <v>139</v>
      </c>
      <c r="B237" s="85"/>
      <c r="C237" s="85">
        <f t="shared" si="19"/>
        <v>69669.77</v>
      </c>
      <c r="D237" s="85"/>
      <c r="E237" s="89">
        <f t="shared" si="18"/>
        <v>69669.77</v>
      </c>
      <c r="F237" s="87"/>
    </row>
    <row r="238" spans="1:6">
      <c r="A238" s="22" t="s">
        <v>140</v>
      </c>
      <c r="B238" s="85"/>
      <c r="C238" s="85">
        <f t="shared" si="19"/>
        <v>3030</v>
      </c>
      <c r="D238" s="85"/>
      <c r="E238" s="89">
        <f t="shared" si="18"/>
        <v>3030</v>
      </c>
      <c r="F238" s="87"/>
    </row>
    <row r="239" spans="1:6">
      <c r="A239" s="22" t="s">
        <v>141</v>
      </c>
      <c r="B239" s="85"/>
      <c r="C239" s="85">
        <f t="shared" si="19"/>
        <v>16512</v>
      </c>
      <c r="D239" s="85"/>
      <c r="E239" s="89">
        <f t="shared" si="18"/>
        <v>16512</v>
      </c>
      <c r="F239" s="87"/>
    </row>
    <row r="240" spans="1:6">
      <c r="A240" s="90" t="s">
        <v>142</v>
      </c>
      <c r="B240" s="85"/>
      <c r="C240" s="85">
        <f t="shared" si="19"/>
        <v>49290.75</v>
      </c>
      <c r="D240" s="85"/>
      <c r="E240" s="89">
        <f t="shared" si="18"/>
        <v>49290.75</v>
      </c>
      <c r="F240" s="87"/>
    </row>
    <row r="241" spans="1:8">
      <c r="A241" s="90" t="s">
        <v>143</v>
      </c>
      <c r="B241" s="85"/>
      <c r="C241" s="85">
        <f t="shared" si="19"/>
        <v>6829.3100000000013</v>
      </c>
      <c r="D241" s="85"/>
      <c r="E241" s="89">
        <f t="shared" si="18"/>
        <v>6829.3100000000013</v>
      </c>
      <c r="F241" s="87"/>
    </row>
    <row r="242" spans="1:8">
      <c r="A242" s="90" t="s">
        <v>144</v>
      </c>
      <c r="B242" s="85"/>
      <c r="C242" s="85">
        <f t="shared" si="19"/>
        <v>14565.75</v>
      </c>
      <c r="D242" s="85"/>
      <c r="E242" s="89">
        <f t="shared" si="18"/>
        <v>14565.75</v>
      </c>
      <c r="F242" s="87"/>
    </row>
    <row r="243" spans="1:8">
      <c r="A243" s="90" t="s">
        <v>145</v>
      </c>
      <c r="B243" s="85"/>
      <c r="C243" s="85">
        <f t="shared" si="19"/>
        <v>0</v>
      </c>
      <c r="D243" s="85"/>
      <c r="E243" s="89">
        <f t="shared" si="18"/>
        <v>0</v>
      </c>
      <c r="F243" s="87"/>
    </row>
    <row r="244" spans="1:8">
      <c r="A244" s="90" t="s">
        <v>146</v>
      </c>
      <c r="B244" s="85"/>
      <c r="C244" s="85">
        <f t="shared" si="19"/>
        <v>188309.83000000007</v>
      </c>
      <c r="D244" s="85"/>
      <c r="E244" s="89">
        <f t="shared" si="18"/>
        <v>188309.83000000007</v>
      </c>
      <c r="F244" s="87"/>
    </row>
    <row r="245" spans="1:8">
      <c r="A245" s="22" t="s">
        <v>147</v>
      </c>
      <c r="B245" s="85"/>
      <c r="C245" s="85">
        <f t="shared" si="19"/>
        <v>325413.41000000003</v>
      </c>
      <c r="D245" s="85"/>
      <c r="E245" s="89">
        <f t="shared" si="18"/>
        <v>325413.41000000003</v>
      </c>
      <c r="F245" s="87"/>
    </row>
    <row r="246" spans="1:8" ht="15.75" thickBot="1">
      <c r="A246" s="22" t="s">
        <v>148</v>
      </c>
      <c r="B246" s="85"/>
      <c r="C246" s="85">
        <f t="shared" si="19"/>
        <v>30195.5</v>
      </c>
      <c r="D246" s="85"/>
      <c r="E246" s="108">
        <f t="shared" si="18"/>
        <v>30195.5</v>
      </c>
      <c r="F246" s="87"/>
    </row>
    <row r="247" spans="1:8" ht="15.75" thickBot="1">
      <c r="A247" s="109" t="s">
        <v>149</v>
      </c>
      <c r="B247" s="110">
        <f>SUM(B225:B246)</f>
        <v>234999.27000000002</v>
      </c>
      <c r="C247" s="110">
        <f>SUM(C225:C246)</f>
        <v>3011868.6300000004</v>
      </c>
      <c r="D247" s="110">
        <f>SUM(D225:D246)</f>
        <v>102851.69</v>
      </c>
      <c r="E247" s="111">
        <f t="shared" si="18"/>
        <v>3349719.5900000003</v>
      </c>
      <c r="F247" s="87"/>
      <c r="G247" s="87"/>
    </row>
    <row r="248" spans="1:8" ht="15.75" thickBot="1">
      <c r="A248" s="112" t="s">
        <v>150</v>
      </c>
      <c r="B248" s="83">
        <f>B247+B223+B206+B202</f>
        <v>8438884.5899999999</v>
      </c>
      <c r="C248" s="83">
        <f>C247+C223+C206+C202</f>
        <v>50100150.719999999</v>
      </c>
      <c r="D248" s="83">
        <f>D247+D223+D206+D202</f>
        <v>10383569.609999999</v>
      </c>
      <c r="E248" s="84">
        <f>E247+E223+E206+E202</f>
        <v>68922604.919999987</v>
      </c>
      <c r="F248" s="87"/>
      <c r="G248" s="87"/>
    </row>
    <row r="249" spans="1:8">
      <c r="A249" s="113" t="s">
        <v>60</v>
      </c>
      <c r="B249" s="114"/>
      <c r="C249" s="114"/>
      <c r="D249" s="114"/>
      <c r="E249" s="114"/>
      <c r="F249" s="87"/>
      <c r="G249" s="87"/>
      <c r="H249" s="87"/>
    </row>
    <row r="250" spans="1:8">
      <c r="A250" s="115"/>
      <c r="B250" s="114"/>
      <c r="C250" s="114"/>
      <c r="D250" s="114"/>
      <c r="E250" s="114"/>
      <c r="F250" s="87"/>
      <c r="G250" s="87"/>
      <c r="H250" s="87"/>
    </row>
    <row r="251" spans="1:8">
      <c r="A251" s="115"/>
      <c r="B251" s="114"/>
      <c r="C251" s="114"/>
      <c r="D251" s="114"/>
      <c r="E251" s="114"/>
      <c r="F251" s="87"/>
      <c r="G251" s="87"/>
      <c r="H251" s="87"/>
    </row>
    <row r="252" spans="1:8">
      <c r="A252" s="3" t="s">
        <v>154</v>
      </c>
      <c r="B252" s="118" t="s">
        <v>155</v>
      </c>
      <c r="C252" s="118"/>
      <c r="D252" s="119"/>
      <c r="E252" s="87"/>
      <c r="F252" s="87"/>
      <c r="G252" s="87"/>
      <c r="H252" s="87"/>
    </row>
    <row r="253" spans="1:8">
      <c r="A253" s="2"/>
      <c r="B253" s="119"/>
      <c r="C253" s="119"/>
      <c r="D253" s="119"/>
      <c r="E253" s="87"/>
      <c r="F253" s="87"/>
      <c r="G253" s="87"/>
      <c r="H253" s="87"/>
    </row>
    <row r="254" spans="1:8">
      <c r="A254" s="2"/>
      <c r="B254" s="119"/>
      <c r="C254" s="119"/>
      <c r="D254" s="119"/>
      <c r="E254" s="87"/>
      <c r="F254" s="87"/>
      <c r="G254" s="87"/>
      <c r="H254" s="87"/>
    </row>
    <row r="255" spans="1:8">
      <c r="A255" s="2"/>
      <c r="B255" s="119"/>
      <c r="C255" s="119"/>
      <c r="D255" s="119"/>
      <c r="E255" s="87"/>
      <c r="F255" s="87"/>
      <c r="G255" s="87"/>
      <c r="H255" s="87"/>
    </row>
    <row r="256" spans="1:8">
      <c r="A256" s="3" t="s">
        <v>156</v>
      </c>
      <c r="B256" s="119"/>
      <c r="C256" s="118" t="s">
        <v>157</v>
      </c>
      <c r="D256" s="119"/>
      <c r="E256" s="87"/>
      <c r="F256" s="87"/>
      <c r="G256" s="87"/>
      <c r="H256" s="87"/>
    </row>
    <row r="257" spans="1:8">
      <c r="A257" s="2" t="s">
        <v>158</v>
      </c>
      <c r="B257" s="119"/>
      <c r="C257" s="119" t="s">
        <v>159</v>
      </c>
      <c r="D257" s="119"/>
      <c r="E257" s="87"/>
      <c r="F257" s="87"/>
      <c r="G257" s="87"/>
      <c r="H257" s="87"/>
    </row>
  </sheetData>
  <mergeCells count="16">
    <mergeCell ref="A39:E40"/>
    <mergeCell ref="A1:F1"/>
    <mergeCell ref="A2:F2"/>
    <mergeCell ref="A3:F3"/>
    <mergeCell ref="A4:F4"/>
    <mergeCell ref="A7:E7"/>
    <mergeCell ref="A171:E171"/>
    <mergeCell ref="A203:E204"/>
    <mergeCell ref="A207:E207"/>
    <mergeCell ref="A224:E224"/>
    <mergeCell ref="A43:E43"/>
    <mergeCell ref="A60:E60"/>
    <mergeCell ref="A88:E88"/>
    <mergeCell ref="A120:E121"/>
    <mergeCell ref="A124:E124"/>
    <mergeCell ref="A141:E1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911sp 2009</vt:lpstr>
      <vt:lpstr>911 sp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Carla_Lubrica</dc:creator>
  <cp:lastModifiedBy>azure</cp:lastModifiedBy>
  <dcterms:created xsi:type="dcterms:W3CDTF">2014-01-14T09:31:47Z</dcterms:created>
  <dcterms:modified xsi:type="dcterms:W3CDTF">2014-01-14T10:15:39Z</dcterms:modified>
</cp:coreProperties>
</file>