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bDiBaLiLi\Desktop\"/>
    </mc:Choice>
  </mc:AlternateContent>
  <bookViews>
    <workbookView xWindow="120" yWindow="15" windowWidth="15570" windowHeight="8445" firstSheet="2" activeTab="2"/>
  </bookViews>
  <sheets>
    <sheet name="RF 163 - Graph-11-11" sheetId="14" state="hidden" r:id="rId1"/>
    <sheet name="161-11-2010" sheetId="10" state="hidden" r:id="rId2"/>
    <sheet name="161" sheetId="26" r:id="rId3"/>
  </sheets>
  <externalReferences>
    <externalReference r:id="rId4"/>
    <externalReference r:id="rId5"/>
    <externalReference r:id="rId6"/>
  </externalReferences>
  <definedNames>
    <definedName name="_xlnm.Print_Area" localSheetId="1">'161-11-2010'!$B$1:$J$59</definedName>
    <definedName name="_xlnm.Print_Area" localSheetId="0">'RF 163 - Graph-11-11'!$B$1:$K$34</definedName>
    <definedName name="_xlnm.Print_Titles" localSheetId="1">'161-11-2010'!$B:$B</definedName>
  </definedNames>
  <calcPr calcId="152511"/>
</workbook>
</file>

<file path=xl/calcChain.xml><?xml version="1.0" encoding="utf-8"?>
<calcChain xmlns="http://schemas.openxmlformats.org/spreadsheetml/2006/main">
  <c r="B14" i="26" l="1"/>
  <c r="D9" i="26"/>
  <c r="C7" i="26"/>
  <c r="D47" i="26"/>
  <c r="D46" i="26"/>
  <c r="D42" i="26"/>
  <c r="D44" i="26"/>
  <c r="D43" i="26"/>
  <c r="D34" i="26"/>
  <c r="D32" i="26"/>
  <c r="E32" i="26" s="1"/>
  <c r="D25" i="26"/>
  <c r="D20" i="26"/>
  <c r="D19" i="26"/>
  <c r="D21" i="26"/>
  <c r="E21" i="26" s="1"/>
  <c r="D10" i="26"/>
  <c r="C47" i="26"/>
  <c r="C46" i="26"/>
  <c r="C45" i="26"/>
  <c r="C43" i="26"/>
  <c r="C42" i="26"/>
  <c r="C36" i="26"/>
  <c r="C34" i="26"/>
  <c r="C26" i="26"/>
  <c r="C22" i="26"/>
  <c r="C25" i="26"/>
  <c r="C24" i="26"/>
  <c r="E24" i="26" s="1"/>
  <c r="C20" i="26"/>
  <c r="C19" i="26"/>
  <c r="C10" i="26"/>
  <c r="C9" i="26"/>
  <c r="B9" i="26"/>
  <c r="B42" i="26"/>
  <c r="B47" i="26"/>
  <c r="B46" i="26"/>
  <c r="B45" i="26"/>
  <c r="B44" i="26"/>
  <c r="B43" i="26"/>
  <c r="B36" i="26"/>
  <c r="B34" i="26"/>
  <c r="B30" i="26"/>
  <c r="E30" i="26" s="1"/>
  <c r="B26" i="26"/>
  <c r="B22" i="26"/>
  <c r="B20" i="26"/>
  <c r="B19" i="26"/>
  <c r="B10" i="26"/>
  <c r="B7" i="26"/>
  <c r="E49" i="26"/>
  <c r="E39" i="26"/>
  <c r="E35" i="26"/>
  <c r="E33" i="26"/>
  <c r="E31" i="26"/>
  <c r="E29" i="26"/>
  <c r="E28" i="26"/>
  <c r="D27" i="26"/>
  <c r="C27" i="26"/>
  <c r="B27" i="26"/>
  <c r="B25" i="26"/>
  <c r="E23" i="26"/>
  <c r="E14" i="26"/>
  <c r="E12" i="26"/>
  <c r="E26" i="26" l="1"/>
  <c r="E7" i="26"/>
  <c r="E9" i="26"/>
  <c r="E22" i="26"/>
  <c r="E27" i="26"/>
  <c r="C11" i="26"/>
  <c r="E25" i="26"/>
  <c r="E36" i="26"/>
  <c r="E47" i="26"/>
  <c r="E46" i="26"/>
  <c r="E44" i="26"/>
  <c r="E43" i="26"/>
  <c r="D37" i="26"/>
  <c r="D11" i="26"/>
  <c r="D48" i="26"/>
  <c r="E19" i="26"/>
  <c r="E45" i="26"/>
  <c r="C48" i="26"/>
  <c r="E34" i="26"/>
  <c r="C37" i="26"/>
  <c r="E10" i="26"/>
  <c r="B48" i="26"/>
  <c r="B37" i="26"/>
  <c r="B11" i="26"/>
  <c r="E42" i="26"/>
  <c r="B15" i="26" l="1"/>
  <c r="B16" i="26" s="1"/>
  <c r="B13" i="26"/>
  <c r="D13" i="26"/>
  <c r="D15" i="26" s="1"/>
  <c r="D16" i="26" s="1"/>
  <c r="D38" i="26" s="1"/>
  <c r="D40" i="26" s="1"/>
  <c r="D50" i="26" s="1"/>
  <c r="D52" i="26" s="1"/>
  <c r="C13" i="26"/>
  <c r="C15" i="26" s="1"/>
  <c r="C16" i="26" s="1"/>
  <c r="C38" i="26" s="1"/>
  <c r="C40" i="26" s="1"/>
  <c r="C50" i="26" s="1"/>
  <c r="C52" i="26" s="1"/>
  <c r="E11" i="26"/>
  <c r="E37" i="26"/>
  <c r="E48" i="26"/>
  <c r="B38" i="26"/>
  <c r="E15" i="26" l="1"/>
  <c r="E16" i="26" s="1"/>
  <c r="E13" i="26"/>
  <c r="D51" i="26"/>
  <c r="C51" i="26"/>
  <c r="E38" i="26"/>
  <c r="E40" i="26" s="1"/>
  <c r="E50" i="26" s="1"/>
  <c r="B50" i="26"/>
  <c r="B40" i="26"/>
  <c r="J8" i="10"/>
  <c r="J10" i="10"/>
  <c r="J11" i="10"/>
  <c r="J12" i="10"/>
  <c r="D13" i="10"/>
  <c r="D15" i="10" s="1"/>
  <c r="D17" i="10" s="1"/>
  <c r="D18" i="10" s="1"/>
  <c r="E13" i="10"/>
  <c r="E15" i="10" s="1"/>
  <c r="E17" i="10" s="1"/>
  <c r="E18" i="10" s="1"/>
  <c r="I13" i="10"/>
  <c r="I15" i="10" s="1"/>
  <c r="I17" i="10" s="1"/>
  <c r="I18" i="10" s="1"/>
  <c r="J14" i="10"/>
  <c r="J16" i="10"/>
  <c r="J21" i="10"/>
  <c r="J22" i="10"/>
  <c r="J23" i="10"/>
  <c r="D24" i="10"/>
  <c r="D39" i="10" s="1"/>
  <c r="E24" i="10"/>
  <c r="I24" i="10"/>
  <c r="I39" i="10" s="1"/>
  <c r="J25" i="10"/>
  <c r="J26" i="10"/>
  <c r="J28" i="10"/>
  <c r="J29" i="10"/>
  <c r="E30" i="10"/>
  <c r="J30" i="10" s="1"/>
  <c r="E31" i="10"/>
  <c r="J31" i="10" s="1"/>
  <c r="J32" i="10"/>
  <c r="E33" i="10"/>
  <c r="J33" i="10" s="1"/>
  <c r="J34" i="10"/>
  <c r="J35" i="10"/>
  <c r="J36" i="10"/>
  <c r="J37" i="10"/>
  <c r="J38" i="10"/>
  <c r="J41" i="10"/>
  <c r="J44" i="10"/>
  <c r="J45" i="10"/>
  <c r="J46" i="10"/>
  <c r="J47" i="10"/>
  <c r="J48" i="10"/>
  <c r="J49" i="10"/>
  <c r="D50" i="10"/>
  <c r="E50" i="10"/>
  <c r="I50" i="10"/>
  <c r="J51" i="10"/>
  <c r="E33" i="14"/>
  <c r="E34" i="14" s="1"/>
  <c r="F33" i="14"/>
  <c r="F34" i="14" s="1"/>
  <c r="G33" i="14"/>
  <c r="H33" i="14"/>
  <c r="G32" i="14"/>
  <c r="I40" i="10" l="1"/>
  <c r="I42" i="10" s="1"/>
  <c r="I52" i="10" s="1"/>
  <c r="F53" i="10" s="1"/>
  <c r="J50" i="10"/>
  <c r="J24" i="10"/>
  <c r="J13" i="10"/>
  <c r="J15" i="10" s="1"/>
  <c r="J17" i="10" s="1"/>
  <c r="J18" i="10" s="1"/>
  <c r="E51" i="26"/>
  <c r="E52" i="26"/>
  <c r="B52" i="26"/>
  <c r="B51" i="26"/>
  <c r="J39" i="10"/>
  <c r="D40" i="10"/>
  <c r="E39" i="10"/>
  <c r="E40" i="10" s="1"/>
  <c r="E42" i="10" s="1"/>
  <c r="E52" i="10" s="1"/>
  <c r="G34" i="14"/>
  <c r="E53" i="10" l="1"/>
  <c r="D33" i="14"/>
  <c r="D42" i="10"/>
  <c r="J40" i="10"/>
  <c r="J42" i="10" s="1"/>
  <c r="J52" i="10" s="1"/>
  <c r="G53" i="10" s="1"/>
  <c r="D52" i="10"/>
  <c r="H32" i="14" l="1"/>
  <c r="H34" i="14" s="1"/>
  <c r="D32" i="14"/>
  <c r="D34" i="14" s="1"/>
  <c r="D53" i="10"/>
  <c r="C33" i="14"/>
  <c r="I33" i="14"/>
  <c r="C32" i="14" l="1"/>
  <c r="C34" i="14" s="1"/>
  <c r="I32" i="14" l="1"/>
  <c r="I34" i="14" s="1"/>
</calcChain>
</file>

<file path=xl/sharedStrings.xml><?xml version="1.0" encoding="utf-8"?>
<sst xmlns="http://schemas.openxmlformats.org/spreadsheetml/2006/main" count="125" uniqueCount="75">
  <si>
    <t>Revolving Fund 161</t>
  </si>
  <si>
    <t>Statement of Income and Expenses</t>
  </si>
  <si>
    <t>Bakery Project</t>
  </si>
  <si>
    <t>Food Processing Center</t>
  </si>
  <si>
    <t>Poultry Project</t>
  </si>
  <si>
    <t>Cost of Sales</t>
  </si>
  <si>
    <t xml:space="preserve">     Direct Materials &amp; Supplies Used</t>
  </si>
  <si>
    <t xml:space="preserve">     Direct Labor</t>
  </si>
  <si>
    <t xml:space="preserve">     Purchases</t>
  </si>
  <si>
    <t xml:space="preserve">     Total Manufacturing Cost / Purchases</t>
  </si>
  <si>
    <t xml:space="preserve">     Add:  FG / Merchandise Inventory, beginning</t>
  </si>
  <si>
    <t xml:space="preserve">     Total Goods Available for Sale</t>
  </si>
  <si>
    <t xml:space="preserve">     Less: FG / Merchandise Inventory, end</t>
  </si>
  <si>
    <t xml:space="preserve">Gross Profit </t>
  </si>
  <si>
    <t>Less: Operating Expenses</t>
  </si>
  <si>
    <t xml:space="preserve">Salaries and Wages </t>
  </si>
  <si>
    <t>Overtime and Night Pay</t>
  </si>
  <si>
    <t>PhilHealth Contributions</t>
  </si>
  <si>
    <t>Year End Bonus and Cash Gift</t>
  </si>
  <si>
    <t>Other Personnel Benefits</t>
  </si>
  <si>
    <t xml:space="preserve">Office Supplies &amp; Other Supplies Expenses </t>
  </si>
  <si>
    <t>Gasoline, Oil &amp; Lubricants Expenses</t>
  </si>
  <si>
    <t>Agricultural Supplies Expenses</t>
  </si>
  <si>
    <t>Fidelity Bond Premiums</t>
  </si>
  <si>
    <t>Telephone Expenses</t>
  </si>
  <si>
    <t>Advertising Expenses</t>
  </si>
  <si>
    <t>Electricity Expenses</t>
  </si>
  <si>
    <t>Water Expenses</t>
  </si>
  <si>
    <t>Repairs and Maintenance</t>
  </si>
  <si>
    <t>Depreciation Expenses</t>
  </si>
  <si>
    <t>Other Maintenance &amp; Operating Expenses</t>
  </si>
  <si>
    <t>Total Operating Expenses</t>
  </si>
  <si>
    <t>Operating Income</t>
  </si>
  <si>
    <t>Add: Other Income</t>
  </si>
  <si>
    <t>Total Operating Income</t>
  </si>
  <si>
    <t>Less:  Imputed Costs</t>
  </si>
  <si>
    <t>Accountable Forms Expenses</t>
  </si>
  <si>
    <t>Total Imputed Costs</t>
  </si>
  <si>
    <t>Other Expenses (SIL &amp; Holiday Pay) (Annex 3)</t>
  </si>
  <si>
    <t>Return on Sales (e)</t>
  </si>
  <si>
    <t>Total</t>
  </si>
  <si>
    <t xml:space="preserve">     Cost of Sales </t>
  </si>
  <si>
    <t>Electricity Expenses (Annex 1, note b)</t>
  </si>
  <si>
    <t>Water Expenses (Annex 2, note c)</t>
  </si>
  <si>
    <t xml:space="preserve">Salaries and Wages - Regular </t>
  </si>
  <si>
    <t xml:space="preserve">Space Rental </t>
  </si>
  <si>
    <t xml:space="preserve">Land Use </t>
  </si>
  <si>
    <t>Poultry 
Project</t>
  </si>
  <si>
    <t>Travel Expenses</t>
  </si>
  <si>
    <t>RF 161: Net Income (Loss)</t>
  </si>
  <si>
    <t>Electricity Expenses (Provision)</t>
  </si>
  <si>
    <t>Water Expenses (Provision)</t>
  </si>
  <si>
    <t>Add: Other Income (Surcharges)</t>
  </si>
  <si>
    <t>Certified Correct:</t>
  </si>
  <si>
    <t xml:space="preserve"> </t>
  </si>
  <si>
    <t xml:space="preserve">        IMELDA G. RAMOS</t>
  </si>
  <si>
    <t xml:space="preserve">            Accountant IV</t>
  </si>
  <si>
    <t>Sales</t>
  </si>
  <si>
    <t xml:space="preserve">Sales </t>
  </si>
  <si>
    <t>Spoilage and Damages</t>
  </si>
  <si>
    <t>For the Period Ended</t>
  </si>
  <si>
    <t>Cable Satellite, Telegraph and Radio Expenses</t>
  </si>
  <si>
    <t>Strawberry Prod'n Project</t>
  </si>
  <si>
    <r>
      <t xml:space="preserve">Increase </t>
    </r>
    <r>
      <rPr>
        <b/>
        <sz val="10"/>
        <color indexed="10"/>
        <rFont val="Century Schoolbook"/>
        <family val="1"/>
      </rPr>
      <t>(Decrease)</t>
    </r>
  </si>
  <si>
    <t>For the Period Ended December 31, 2010</t>
  </si>
  <si>
    <t>PWRS</t>
  </si>
  <si>
    <t>Multi-Vegetable Prod'n Project</t>
  </si>
  <si>
    <t>Service Incentive Leave &amp; Holiday Pay</t>
  </si>
  <si>
    <t>Purified Water Refilling Station</t>
  </si>
  <si>
    <t>Salaries and Wages - Bookkeeper/Workers</t>
  </si>
  <si>
    <t>13th Month Pay &amp; Cash Gift</t>
  </si>
  <si>
    <t xml:space="preserve">        IMELDA B. GALINATO</t>
  </si>
  <si>
    <t>For the Period Ended December 31, 2012</t>
  </si>
  <si>
    <t xml:space="preserve">     Total Production Cost </t>
  </si>
  <si>
    <t>Return 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</si>
</sst>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409]mmmm\ d\,\ yyyy;@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Tahoma"/>
      <family val="2"/>
    </font>
    <font>
      <b/>
      <sz val="10"/>
      <color indexed="8"/>
      <name val="Eras Medium ITC"/>
      <family val="2"/>
    </font>
    <font>
      <sz val="10"/>
      <color indexed="8"/>
      <name val="Eras Medium ITC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i/>
      <sz val="10"/>
      <color indexed="8"/>
      <name val="Eras Medium ITC"/>
      <family val="2"/>
    </font>
    <font>
      <i/>
      <sz val="8"/>
      <color indexed="8"/>
      <name val="Eras Medium ITC"/>
      <family val="2"/>
    </font>
    <font>
      <sz val="10"/>
      <color indexed="8"/>
      <name val="Lucida Sans"/>
      <family val="2"/>
    </font>
    <font>
      <sz val="9"/>
      <color indexed="8"/>
      <name val="Lucida Sans"/>
      <family val="2"/>
    </font>
    <font>
      <b/>
      <sz val="10"/>
      <name val="Eras Medium ITC"/>
      <family val="2"/>
    </font>
    <font>
      <sz val="10"/>
      <name val="Eras Medium ITC"/>
      <family val="2"/>
    </font>
    <font>
      <sz val="9"/>
      <color indexed="8"/>
      <name val="Eras Medium ITC"/>
      <family val="2"/>
    </font>
    <font>
      <b/>
      <i/>
      <sz val="8"/>
      <color indexed="8"/>
      <name val="Eras Medium ITC"/>
      <family val="2"/>
    </font>
    <font>
      <b/>
      <sz val="10"/>
      <name val="Century Schoolbook"/>
      <family val="1"/>
    </font>
    <font>
      <sz val="10"/>
      <name val="Century Schoolbook"/>
      <family val="1"/>
    </font>
    <font>
      <b/>
      <sz val="10"/>
      <color indexed="10"/>
      <name val="Century Schoolbook"/>
      <family val="1"/>
    </font>
    <font>
      <sz val="11"/>
      <name val="Arial"/>
      <family val="2"/>
    </font>
    <font>
      <sz val="11"/>
      <name val="Eras Medium ITC"/>
      <family val="2"/>
    </font>
    <font>
      <b/>
      <sz val="9"/>
      <name val="Century Schoolbook"/>
      <family val="1"/>
    </font>
    <font>
      <b/>
      <i/>
      <sz val="8"/>
      <color indexed="8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41" fillId="0" borderId="0" applyFont="0" applyFill="0" applyBorder="0" applyAlignment="0" applyProtection="0"/>
  </cellStyleXfs>
  <cellXfs count="104">
    <xf numFmtId="0" fontId="0" fillId="0" borderId="0" xfId="0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43" fontId="22" fillId="0" borderId="10" xfId="28" applyNumberFormat="1" applyFont="1" applyFill="1" applyBorder="1" applyAlignment="1">
      <alignment vertical="center" shrinkToFit="1"/>
    </xf>
    <xf numFmtId="43" fontId="23" fillId="0" borderId="0" xfId="28" applyNumberFormat="1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/>
    </xf>
    <xf numFmtId="43" fontId="23" fillId="0" borderId="10" xfId="28" applyNumberFormat="1" applyFont="1" applyFill="1" applyBorder="1" applyAlignment="1">
      <alignment vertical="center" shrinkToFit="1"/>
    </xf>
    <xf numFmtId="43" fontId="23" fillId="0" borderId="0" xfId="0" applyNumberFormat="1" applyFont="1" applyFill="1" applyBorder="1" applyAlignment="1">
      <alignment vertical="center" shrinkToFit="1"/>
    </xf>
    <xf numFmtId="43" fontId="23" fillId="0" borderId="10" xfId="0" applyNumberFormat="1" applyFont="1" applyFill="1" applyBorder="1" applyAlignment="1">
      <alignment vertical="center" shrinkToFit="1"/>
    </xf>
    <xf numFmtId="10" fontId="23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2"/>
    </xf>
    <xf numFmtId="0" fontId="23" fillId="0" borderId="10" xfId="0" applyFont="1" applyFill="1" applyBorder="1" applyAlignment="1">
      <alignment horizontal="left" vertical="center" indent="2"/>
    </xf>
    <xf numFmtId="0" fontId="23" fillId="0" borderId="11" xfId="0" applyFont="1" applyFill="1" applyBorder="1" applyAlignment="1">
      <alignment vertical="center"/>
    </xf>
    <xf numFmtId="43" fontId="23" fillId="0" borderId="11" xfId="0" applyNumberFormat="1" applyFont="1" applyFill="1" applyBorder="1" applyAlignment="1">
      <alignment vertical="center" shrinkToFit="1"/>
    </xf>
    <xf numFmtId="43" fontId="23" fillId="0" borderId="11" xfId="28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horizontal="left" vertical="center" indent="2"/>
    </xf>
    <xf numFmtId="0" fontId="22" fillId="0" borderId="12" xfId="0" applyFont="1" applyFill="1" applyBorder="1" applyAlignment="1">
      <alignment vertical="center"/>
    </xf>
    <xf numFmtId="43" fontId="23" fillId="0" borderId="0" xfId="4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3" fontId="27" fillId="0" borderId="0" xfId="42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horizontal="left" vertical="center"/>
    </xf>
    <xf numFmtId="10" fontId="23" fillId="0" borderId="0" xfId="42" applyNumberFormat="1" applyFont="1" applyFill="1" applyBorder="1" applyAlignment="1">
      <alignment vertical="center"/>
    </xf>
    <xf numFmtId="164" fontId="23" fillId="0" borderId="0" xfId="28" applyNumberFormat="1" applyFont="1" applyFill="1" applyBorder="1" applyAlignment="1">
      <alignment vertical="center"/>
    </xf>
    <xf numFmtId="43" fontId="23" fillId="0" borderId="0" xfId="28" applyNumberFormat="1" applyFont="1" applyFill="1" applyBorder="1" applyAlignment="1">
      <alignment vertical="center"/>
    </xf>
    <xf numFmtId="43" fontId="23" fillId="0" borderId="0" xfId="28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3" fontId="29" fillId="0" borderId="0" xfId="42" applyNumberFormat="1" applyFont="1" applyFill="1" applyBorder="1" applyAlignment="1">
      <alignment horizontal="left" vertical="center"/>
    </xf>
    <xf numFmtId="43" fontId="28" fillId="0" borderId="0" xfId="42" applyNumberFormat="1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vertical="center"/>
    </xf>
    <xf numFmtId="43" fontId="22" fillId="25" borderId="12" xfId="0" applyNumberFormat="1" applyFont="1" applyFill="1" applyBorder="1" applyAlignment="1">
      <alignment vertical="center" shrinkToFit="1"/>
    </xf>
    <xf numFmtId="43" fontId="30" fillId="24" borderId="10" xfId="28" applyNumberFormat="1" applyFont="1" applyFill="1" applyBorder="1" applyAlignment="1">
      <alignment vertical="center" shrinkToFit="1"/>
    </xf>
    <xf numFmtId="43" fontId="31" fillId="24" borderId="0" xfId="28" applyFont="1" applyFill="1" applyBorder="1" applyAlignment="1">
      <alignment vertical="center" shrinkToFit="1"/>
    </xf>
    <xf numFmtId="43" fontId="31" fillId="24" borderId="0" xfId="28" applyNumberFormat="1" applyFont="1" applyFill="1" applyBorder="1" applyAlignment="1">
      <alignment vertical="center" shrinkToFit="1"/>
    </xf>
    <xf numFmtId="43" fontId="31" fillId="24" borderId="0" xfId="28" applyNumberFormat="1" applyFont="1" applyFill="1" applyBorder="1" applyAlignment="1">
      <alignment horizontal="right" vertical="center" shrinkToFit="1"/>
    </xf>
    <xf numFmtId="43" fontId="31" fillId="24" borderId="10" xfId="28" applyNumberFormat="1" applyFont="1" applyFill="1" applyBorder="1" applyAlignment="1">
      <alignment horizontal="right" vertical="center" shrinkToFit="1"/>
    </xf>
    <xf numFmtId="43" fontId="31" fillId="24" borderId="0" xfId="0" applyNumberFormat="1" applyFont="1" applyFill="1" applyBorder="1" applyAlignment="1">
      <alignment vertical="center" shrinkToFit="1"/>
    </xf>
    <xf numFmtId="43" fontId="31" fillId="24" borderId="10" xfId="0" applyNumberFormat="1" applyFont="1" applyFill="1" applyBorder="1" applyAlignment="1">
      <alignment vertical="center" shrinkToFit="1"/>
    </xf>
    <xf numFmtId="43" fontId="31" fillId="24" borderId="11" xfId="0" applyNumberFormat="1" applyFont="1" applyFill="1" applyBorder="1" applyAlignment="1">
      <alignment vertical="center" shrinkToFit="1"/>
    </xf>
    <xf numFmtId="43" fontId="31" fillId="24" borderId="11" xfId="28" applyFont="1" applyFill="1" applyBorder="1" applyAlignment="1">
      <alignment vertical="center" shrinkToFit="1"/>
    </xf>
    <xf numFmtId="43" fontId="30" fillId="25" borderId="12" xfId="0" applyNumberFormat="1" applyFont="1" applyFill="1" applyBorder="1" applyAlignment="1">
      <alignment vertical="center" shrinkToFit="1"/>
    </xf>
    <xf numFmtId="0" fontId="22" fillId="26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43" fontId="23" fillId="0" borderId="13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43" fontId="31" fillId="24" borderId="14" xfId="0" applyNumberFormat="1" applyFont="1" applyFill="1" applyBorder="1" applyAlignment="1">
      <alignment vertical="center" shrinkToFit="1"/>
    </xf>
    <xf numFmtId="43" fontId="23" fillId="0" borderId="14" xfId="0" applyNumberFormat="1" applyFont="1" applyFill="1" applyBorder="1" applyAlignment="1">
      <alignment vertical="center" shrinkToFit="1"/>
    </xf>
    <xf numFmtId="43" fontId="32" fillId="0" borderId="0" xfId="28" applyFont="1" applyFill="1" applyBorder="1" applyAlignment="1">
      <alignment vertical="center"/>
    </xf>
    <xf numFmtId="43" fontId="33" fillId="0" borderId="0" xfId="42" applyNumberFormat="1" applyFont="1" applyFill="1" applyBorder="1" applyAlignment="1">
      <alignment vertical="center"/>
    </xf>
    <xf numFmtId="43" fontId="30" fillId="24" borderId="10" xfId="28" applyFont="1" applyFill="1" applyBorder="1" applyAlignment="1">
      <alignment vertical="center" shrinkToFit="1"/>
    </xf>
    <xf numFmtId="43" fontId="31" fillId="24" borderId="10" xfId="28" applyFont="1" applyFill="1" applyBorder="1" applyAlignment="1">
      <alignment vertical="center" shrinkToFit="1"/>
    </xf>
    <xf numFmtId="43" fontId="31" fillId="24" borderId="10" xfId="28" applyNumberFormat="1" applyFont="1" applyFill="1" applyBorder="1" applyAlignment="1">
      <alignment vertical="center" shrinkToFit="1"/>
    </xf>
    <xf numFmtId="43" fontId="31" fillId="24" borderId="0" xfId="0" applyNumberFormat="1" applyFont="1" applyFill="1" applyBorder="1" applyAlignment="1">
      <alignment horizontal="left" vertical="center" shrinkToFit="1"/>
    </xf>
    <xf numFmtId="0" fontId="34" fillId="0" borderId="15" xfId="0" applyFont="1" applyBorder="1" applyAlignment="1">
      <alignment horizontal="center" vertical="distributed"/>
    </xf>
    <xf numFmtId="165" fontId="35" fillId="0" borderId="15" xfId="0" applyNumberFormat="1" applyFont="1" applyBorder="1" applyAlignment="1">
      <alignment horizontal="center"/>
    </xf>
    <xf numFmtId="43" fontId="35" fillId="0" borderId="15" xfId="0" applyNumberFormat="1" applyFont="1" applyBorder="1"/>
    <xf numFmtId="43" fontId="34" fillId="0" borderId="15" xfId="0" applyNumberFormat="1" applyFont="1" applyBorder="1" applyAlignment="1">
      <alignment horizontal="justify" vertical="distributed"/>
    </xf>
    <xf numFmtId="0" fontId="37" fillId="0" borderId="0" xfId="0" applyFont="1" applyAlignment="1">
      <alignment horizontal="justify" vertical="distributed"/>
    </xf>
    <xf numFmtId="0" fontId="38" fillId="0" borderId="0" xfId="0" applyFont="1"/>
    <xf numFmtId="0" fontId="31" fillId="0" borderId="0" xfId="0" applyFont="1"/>
    <xf numFmtId="0" fontId="39" fillId="0" borderId="15" xfId="0" applyFont="1" applyBorder="1" applyAlignment="1">
      <alignment horizontal="center" vertical="distributed"/>
    </xf>
    <xf numFmtId="0" fontId="22" fillId="27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0" fontId="22" fillId="0" borderId="13" xfId="42" applyNumberFormat="1" applyFont="1" applyFill="1" applyBorder="1" applyAlignment="1">
      <alignment vertical="center"/>
    </xf>
    <xf numFmtId="43" fontId="23" fillId="0" borderId="0" xfId="28" applyFont="1" applyFill="1" applyBorder="1" applyAlignment="1">
      <alignment vertical="center" shrinkToFit="1"/>
    </xf>
    <xf numFmtId="43" fontId="23" fillId="0" borderId="0" xfId="28" applyNumberFormat="1" applyFont="1" applyFill="1" applyBorder="1" applyAlignment="1">
      <alignment horizontal="right" vertical="center" shrinkToFit="1"/>
    </xf>
    <xf numFmtId="43" fontId="23" fillId="0" borderId="10" xfId="28" applyFont="1" applyFill="1" applyBorder="1" applyAlignment="1">
      <alignment vertical="center" shrinkToFit="1"/>
    </xf>
    <xf numFmtId="43" fontId="23" fillId="0" borderId="10" xfId="28" applyNumberFormat="1" applyFont="1" applyFill="1" applyBorder="1" applyAlignment="1">
      <alignment horizontal="right" vertical="center" shrinkToFit="1"/>
    </xf>
    <xf numFmtId="43" fontId="26" fillId="0" borderId="0" xfId="0" applyNumberFormat="1" applyFont="1" applyFill="1" applyBorder="1" applyAlignment="1">
      <alignment horizontal="right" vertical="center"/>
    </xf>
    <xf numFmtId="43" fontId="26" fillId="0" borderId="0" xfId="0" applyNumberFormat="1" applyFont="1" applyFill="1" applyBorder="1" applyAlignment="1">
      <alignment horizontal="center" vertical="center" wrapText="1"/>
    </xf>
    <xf numFmtId="43" fontId="23" fillId="0" borderId="0" xfId="42" applyNumberFormat="1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horizontal="left" vertical="center" shrinkToFit="1"/>
    </xf>
    <xf numFmtId="43" fontId="42" fillId="0" borderId="10" xfId="28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10" fontId="22" fillId="0" borderId="0" xfId="42" applyNumberFormat="1" applyFont="1" applyFill="1" applyBorder="1" applyAlignment="1">
      <alignment vertical="center"/>
    </xf>
    <xf numFmtId="43" fontId="42" fillId="0" borderId="10" xfId="28" applyFont="1" applyFill="1" applyBorder="1" applyAlignment="1">
      <alignment vertical="center" shrinkToFit="1"/>
    </xf>
    <xf numFmtId="39" fontId="42" fillId="28" borderId="12" xfId="47" applyNumberFormat="1" applyFont="1" applyFill="1" applyBorder="1" applyAlignment="1">
      <alignment vertical="center" shrinkToFit="1"/>
    </xf>
    <xf numFmtId="39" fontId="42" fillId="29" borderId="12" xfId="47" applyNumberFormat="1" applyFont="1" applyFill="1" applyBorder="1" applyAlignment="1">
      <alignment vertical="center" shrinkToFit="1"/>
    </xf>
    <xf numFmtId="39" fontId="23" fillId="0" borderId="0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right" vertical="center"/>
    </xf>
    <xf numFmtId="0" fontId="21" fillId="24" borderId="13" xfId="0" applyFont="1" applyFill="1" applyBorder="1" applyAlignment="1">
      <alignment horizontal="right" vertical="center"/>
    </xf>
    <xf numFmtId="43" fontId="21" fillId="24" borderId="16" xfId="0" applyNumberFormat="1" applyFont="1" applyFill="1" applyBorder="1" applyAlignment="1">
      <alignment horizontal="center" vertical="center" wrapText="1" shrinkToFit="1"/>
    </xf>
    <xf numFmtId="43" fontId="21" fillId="24" borderId="13" xfId="0" applyNumberFormat="1" applyFont="1" applyFill="1" applyBorder="1" applyAlignment="1">
      <alignment horizontal="center" vertical="center" shrinkToFit="1"/>
    </xf>
    <xf numFmtId="43" fontId="25" fillId="0" borderId="16" xfId="0" applyNumberFormat="1" applyFont="1" applyFill="1" applyBorder="1" applyAlignment="1">
      <alignment horizontal="center" vertical="center" wrapText="1"/>
    </xf>
    <xf numFmtId="43" fontId="25" fillId="0" borderId="13" xfId="0" applyNumberFormat="1" applyFont="1" applyFill="1" applyBorder="1" applyAlignment="1">
      <alignment horizontal="center" vertical="center" wrapText="1"/>
    </xf>
    <xf numFmtId="43" fontId="21" fillId="24" borderId="16" xfId="0" applyNumberFormat="1" applyFont="1" applyFill="1" applyBorder="1" applyAlignment="1">
      <alignment horizontal="center" vertical="center" wrapText="1"/>
    </xf>
    <xf numFmtId="43" fontId="21" fillId="24" borderId="13" xfId="0" applyNumberFormat="1" applyFont="1" applyFill="1" applyBorder="1" applyAlignment="1">
      <alignment horizontal="center" vertical="center"/>
    </xf>
    <xf numFmtId="43" fontId="21" fillId="24" borderId="1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43" fontId="40" fillId="0" borderId="16" xfId="0" applyNumberFormat="1" applyFont="1" applyFill="1" applyBorder="1" applyAlignment="1">
      <alignment horizontal="center" vertical="center" wrapText="1"/>
    </xf>
    <xf numFmtId="43" fontId="40" fillId="0" borderId="13" xfId="0" applyNumberFormat="1" applyFont="1" applyFill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 wrapText="1" shrinkToFit="1"/>
    </xf>
    <xf numFmtId="43" fontId="25" fillId="0" borderId="13" xfId="0" applyNumberFormat="1" applyFont="1" applyFill="1" applyBorder="1" applyAlignment="1">
      <alignment horizontal="center" vertical="center" shrinkToFi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47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Percent" xfId="42" builtinId="5"/>
    <cellStyle name="Percent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RF 163 Fiancial Performance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933736"/>
        <c:axId val="321932560"/>
        <c:axId val="0"/>
      </c:bar3DChart>
      <c:catAx>
        <c:axId val="32193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3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93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33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RF 163 NET INCOME</a:t>
            </a:r>
          </a:p>
        </c:rich>
      </c:tx>
      <c:overlay val="0"/>
      <c:spPr>
        <a:solidFill>
          <a:schemeClr val="bg1">
            <a:lumMod val="85000"/>
          </a:schemeClr>
        </a:solidFill>
        <a:ln w="25400">
          <a:noFill/>
        </a:ln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14366744425469"/>
          <c:y val="0.11735569471138962"/>
          <c:w val="0.74198076720325379"/>
          <c:h val="0.67061524789716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'RF 163 - Graph-11-11'!$B$32</c:f>
              <c:strCache>
                <c:ptCount val="1"/>
                <c:pt idx="0">
                  <c:v>December 31, 2011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'RF 163 - Graph-11-11'!$C$31:$H$31</c:f>
              <c:strCache>
                <c:ptCount val="6"/>
                <c:pt idx="0">
                  <c:v>Bakery Project</c:v>
                </c:pt>
                <c:pt idx="1">
                  <c:v>Food Processing Center</c:v>
                </c:pt>
                <c:pt idx="2">
                  <c:v>Multi-Vegetable Prod'n Project</c:v>
                </c:pt>
                <c:pt idx="3">
                  <c:v>Purified Water Refilling Station</c:v>
                </c:pt>
                <c:pt idx="4">
                  <c:v>Strawberry Prod'n Project</c:v>
                </c:pt>
                <c:pt idx="5">
                  <c:v>Poultry Project</c:v>
                </c:pt>
              </c:strCache>
            </c:strRef>
          </c:cat>
          <c:val>
            <c:numRef>
              <c:f>'RF 163 - Graph-11-11'!$C$32:$H$32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'RF 163 - Graph-11-11'!$B$33</c:f>
              <c:strCache>
                <c:ptCount val="1"/>
                <c:pt idx="0">
                  <c:v>December 31, 2010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'RF 163 - Graph-11-11'!$C$31:$H$31</c:f>
              <c:strCache>
                <c:ptCount val="6"/>
                <c:pt idx="0">
                  <c:v>Bakery Project</c:v>
                </c:pt>
                <c:pt idx="1">
                  <c:v>Food Processing Center</c:v>
                </c:pt>
                <c:pt idx="2">
                  <c:v>Multi-Vegetable Prod'n Project</c:v>
                </c:pt>
                <c:pt idx="3">
                  <c:v>Purified Water Refilling Station</c:v>
                </c:pt>
                <c:pt idx="4">
                  <c:v>Strawberry Prod'n Project</c:v>
                </c:pt>
                <c:pt idx="5">
                  <c:v>Poultry Project</c:v>
                </c:pt>
              </c:strCache>
            </c:strRef>
          </c:cat>
          <c:val>
            <c:numRef>
              <c:f>'RF 163 - Graph-11-11'!$C$33:$H$33</c:f>
              <c:numCache>
                <c:formatCode>_(* #,##0.00_);_(* \(#,##0.00\);_(* "-"??_);_(@_)</c:formatCode>
                <c:ptCount val="6"/>
                <c:pt idx="0">
                  <c:v>-4077032.63</c:v>
                </c:pt>
                <c:pt idx="1">
                  <c:v>1657602.3599999999</c:v>
                </c:pt>
                <c:pt idx="2">
                  <c:v>0</c:v>
                </c:pt>
                <c:pt idx="3">
                  <c:v>175271.94999999995</c:v>
                </c:pt>
                <c:pt idx="4">
                  <c:v>0</c:v>
                </c:pt>
                <c:pt idx="5">
                  <c:v>213212.80000000002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930208"/>
        <c:axId val="321932952"/>
        <c:axId val="0"/>
      </c:bar3DChart>
      <c:catAx>
        <c:axId val="3219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32193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93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321930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>
          <a:alpha val="82000"/>
        </a:srgbClr>
      </a:solidFill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76200</xdr:colOff>
      <xdr:row>0</xdr:row>
      <xdr:rowOff>0</xdr:rowOff>
    </xdr:from>
    <xdr:to>
      <xdr:col>68</xdr:col>
      <xdr:colOff>171450</xdr:colOff>
      <xdr:row>0</xdr:row>
      <xdr:rowOff>0</xdr:rowOff>
    </xdr:to>
    <xdr:graphicFrame macro="">
      <xdr:nvGraphicFramePr>
        <xdr:cNvPr id="153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1133475</xdr:colOff>
      <xdr:row>29</xdr:row>
      <xdr:rowOff>142875</xdr:rowOff>
    </xdr:to>
    <xdr:graphicFrame macro="">
      <xdr:nvGraphicFramePr>
        <xdr:cNvPr id="1537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/ari/RF%20163%20-%20New-10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My%20Documents\summary%20march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GP%20Financial%20Reports%202009\06%20JUNE%2009\FPC%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 163 - Graph-11-11"/>
      <sheetName val="163-11-2010"/>
      <sheetName val="163-12-2011"/>
    </sheetNames>
    <sheetDataSet>
      <sheetData sheetId="0"/>
      <sheetData sheetId="1">
        <row r="44">
          <cell r="I44">
            <v>175271.94999999995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0 - 161"/>
      <sheetName val="March 2010 - 163"/>
      <sheetName val="2010 FPC"/>
      <sheetName val="2010 hmeg"/>
    </sheetNames>
    <sheetDataSet>
      <sheetData sheetId="0" refreshError="1"/>
      <sheetData sheetId="1" refreshError="1"/>
      <sheetData sheetId="2" refreshError="1">
        <row r="28">
          <cell r="M28">
            <v>0</v>
          </cell>
        </row>
        <row r="32">
          <cell r="M32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AF"/>
      <sheetName val="CDAP"/>
      <sheetName val="RCR"/>
      <sheetName val="CF"/>
      <sheetName val="BS"/>
      <sheetName val="Summary"/>
      <sheetName val="FG"/>
      <sheetName val="RM"/>
      <sheetName val="other supplies"/>
      <sheetName val="AR"/>
      <sheetName val="AR."/>
      <sheetName val="IS"/>
      <sheetName val="office supplies"/>
      <sheetName val="PPE1"/>
      <sheetName val="PPE2"/>
      <sheetName val="TB"/>
      <sheetName val="labor."/>
      <sheetName val="lab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9">
          <cell r="J29">
            <v>1125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M46"/>
  <sheetViews>
    <sheetView topLeftCell="A10" workbookViewId="0">
      <selection activeCell="G37" sqref="G37"/>
    </sheetView>
  </sheetViews>
  <sheetFormatPr defaultRowHeight="12.75" x14ac:dyDescent="0.2"/>
  <cols>
    <col min="1" max="1" width="0.42578125" customWidth="1"/>
    <col min="2" max="2" width="19.85546875" customWidth="1"/>
    <col min="3" max="3" width="17.140625" customWidth="1"/>
    <col min="4" max="4" width="16.140625" customWidth="1"/>
    <col min="5" max="5" width="15.42578125" customWidth="1"/>
    <col min="6" max="6" width="16.7109375" customWidth="1"/>
    <col min="7" max="7" width="15.140625" customWidth="1"/>
    <col min="8" max="8" width="17.85546875" customWidth="1"/>
    <col min="9" max="9" width="17.140625" customWidth="1"/>
    <col min="10" max="10" width="14.42578125" customWidth="1"/>
    <col min="11" max="11" width="16.7109375" customWidth="1"/>
  </cols>
  <sheetData>
    <row r="26" spans="2:13" x14ac:dyDescent="0.2">
      <c r="M26" t="s">
        <v>54</v>
      </c>
    </row>
    <row r="31" spans="2:13" ht="38.450000000000003" customHeight="1" x14ac:dyDescent="0.2">
      <c r="B31" s="61" t="s">
        <v>60</v>
      </c>
      <c r="C31" s="68" t="s">
        <v>2</v>
      </c>
      <c r="D31" s="61" t="s">
        <v>3</v>
      </c>
      <c r="E31" s="61" t="s">
        <v>66</v>
      </c>
      <c r="F31" s="61" t="s">
        <v>68</v>
      </c>
      <c r="G31" s="61" t="s">
        <v>62</v>
      </c>
      <c r="H31" s="61" t="s">
        <v>4</v>
      </c>
      <c r="I31" s="61" t="s">
        <v>40</v>
      </c>
    </row>
    <row r="32" spans="2:13" x14ac:dyDescent="0.2">
      <c r="B32" s="62">
        <v>40908</v>
      </c>
      <c r="C32" s="63" t="e">
        <f>#REF!</f>
        <v>#REF!</v>
      </c>
      <c r="D32" s="63" t="e">
        <f>#REF!</f>
        <v>#REF!</v>
      </c>
      <c r="E32" s="63">
        <v>0</v>
      </c>
      <c r="F32" s="63">
        <v>0</v>
      </c>
      <c r="G32" s="63" t="e">
        <f>#REF!</f>
        <v>#REF!</v>
      </c>
      <c r="H32" s="63" t="e">
        <f>#REF!</f>
        <v>#REF!</v>
      </c>
      <c r="I32" s="63" t="e">
        <f>SUM(C32:H32)</f>
        <v>#REF!</v>
      </c>
    </row>
    <row r="33" spans="2:9" x14ac:dyDescent="0.2">
      <c r="B33" s="62">
        <v>40543</v>
      </c>
      <c r="C33" s="63">
        <f>'161-11-2010'!D52</f>
        <v>-4077032.63</v>
      </c>
      <c r="D33" s="63">
        <f>'161-11-2010'!E52</f>
        <v>1657602.3599999999</v>
      </c>
      <c r="E33" s="63">
        <f>'161-11-2010'!F52</f>
        <v>0</v>
      </c>
      <c r="F33" s="63">
        <f>'[1]163-11-2010'!I44</f>
        <v>175271.94999999995</v>
      </c>
      <c r="G33" s="63">
        <f>'161-11-2010'!H52</f>
        <v>0</v>
      </c>
      <c r="H33" s="63">
        <f>'161-11-2010'!I50</f>
        <v>213212.80000000002</v>
      </c>
      <c r="I33" s="63">
        <f>SUM(C33:H33)</f>
        <v>-2030945.5200000003</v>
      </c>
    </row>
    <row r="34" spans="2:9" s="65" customFormat="1" ht="31.15" customHeight="1" x14ac:dyDescent="0.2">
      <c r="B34" s="61" t="s">
        <v>63</v>
      </c>
      <c r="C34" s="64" t="e">
        <f t="shared" ref="C34:I34" si="0">C32-C33</f>
        <v>#REF!</v>
      </c>
      <c r="D34" s="64" t="e">
        <f t="shared" si="0"/>
        <v>#REF!</v>
      </c>
      <c r="E34" s="64">
        <f t="shared" si="0"/>
        <v>0</v>
      </c>
      <c r="F34" s="64">
        <f t="shared" si="0"/>
        <v>-175271.94999999995</v>
      </c>
      <c r="G34" s="64" t="e">
        <f t="shared" si="0"/>
        <v>#REF!</v>
      </c>
      <c r="H34" s="64" t="e">
        <f t="shared" si="0"/>
        <v>#REF!</v>
      </c>
      <c r="I34" s="64" t="e">
        <f t="shared" si="0"/>
        <v>#REF!</v>
      </c>
    </row>
    <row r="35" spans="2:9" ht="15" x14ac:dyDescent="0.25">
      <c r="B35" s="66"/>
      <c r="C35" s="67"/>
      <c r="D35" s="67"/>
      <c r="E35" s="67"/>
      <c r="F35" s="67"/>
      <c r="G35" s="67"/>
    </row>
    <row r="36" spans="2:9" ht="15" x14ac:dyDescent="0.25">
      <c r="B36" s="66"/>
      <c r="C36" s="67"/>
      <c r="D36" s="67"/>
      <c r="E36" s="67"/>
      <c r="F36" s="67"/>
      <c r="G36" s="67"/>
    </row>
    <row r="37" spans="2:9" ht="15" x14ac:dyDescent="0.25">
      <c r="B37" s="66"/>
      <c r="C37" s="67"/>
      <c r="D37" s="67"/>
      <c r="E37" s="67"/>
      <c r="F37" s="67"/>
      <c r="G37" s="67"/>
    </row>
    <row r="38" spans="2:9" ht="15" x14ac:dyDescent="0.25">
      <c r="B38" s="66"/>
      <c r="C38" s="67"/>
      <c r="D38" s="67"/>
      <c r="E38" s="67"/>
      <c r="F38" s="67"/>
      <c r="G38" s="67"/>
    </row>
    <row r="39" spans="2:9" ht="15" x14ac:dyDescent="0.25">
      <c r="B39" s="66"/>
      <c r="C39" s="67"/>
      <c r="D39" s="67"/>
      <c r="E39" s="67"/>
      <c r="F39" s="67"/>
      <c r="G39" s="67"/>
    </row>
    <row r="40" spans="2:9" ht="15" x14ac:dyDescent="0.25">
      <c r="B40" s="66"/>
      <c r="C40" s="67"/>
      <c r="D40" s="67"/>
      <c r="E40" s="67"/>
      <c r="F40" s="67"/>
      <c r="G40" s="67"/>
    </row>
    <row r="41" spans="2:9" ht="15" x14ac:dyDescent="0.25">
      <c r="B41" s="66"/>
      <c r="C41" s="67"/>
      <c r="D41" s="67"/>
      <c r="E41" s="67"/>
      <c r="F41" s="67"/>
      <c r="G41" s="67"/>
    </row>
    <row r="42" spans="2:9" ht="15" x14ac:dyDescent="0.25">
      <c r="B42" s="66"/>
      <c r="C42" s="67"/>
      <c r="D42" s="67"/>
      <c r="E42" s="67"/>
      <c r="F42" s="67"/>
      <c r="G42" s="67"/>
    </row>
    <row r="43" spans="2:9" ht="15" x14ac:dyDescent="0.25">
      <c r="B43" s="66"/>
      <c r="C43" s="67"/>
      <c r="D43" s="67"/>
      <c r="E43" s="67"/>
      <c r="F43" s="67"/>
      <c r="G43" s="67"/>
    </row>
    <row r="44" spans="2:9" ht="15" x14ac:dyDescent="0.25">
      <c r="B44" s="66"/>
      <c r="C44" s="67"/>
      <c r="D44" s="67"/>
      <c r="E44" s="67"/>
      <c r="F44" s="67"/>
      <c r="G44" s="67"/>
    </row>
    <row r="45" spans="2:9" ht="15" x14ac:dyDescent="0.25">
      <c r="B45" s="66"/>
      <c r="C45" s="67"/>
      <c r="D45" s="67"/>
      <c r="E45" s="67"/>
      <c r="F45" s="67"/>
      <c r="G45" s="67"/>
    </row>
    <row r="46" spans="2:9" ht="15" x14ac:dyDescent="0.25">
      <c r="B46" s="66"/>
      <c r="C46" s="67"/>
      <c r="D46" s="67"/>
      <c r="E46" s="67"/>
      <c r="F46" s="67"/>
      <c r="G46" s="67"/>
    </row>
  </sheetData>
  <printOptions horizontalCentered="1"/>
  <pageMargins left="1.5" right="0.75" top="1" bottom="0.5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="95" workbookViewId="0">
      <pane xSplit="2" ySplit="7" topLeftCell="C17" activePane="bottomRight" state="frozen"/>
      <selection pane="topRight" activeCell="B1" sqref="B1"/>
      <selection pane="bottomLeft" activeCell="A8" sqref="A8"/>
      <selection pane="bottomRight" activeCell="G35" sqref="G35"/>
    </sheetView>
  </sheetViews>
  <sheetFormatPr defaultRowHeight="13.15" customHeight="1" x14ac:dyDescent="0.2"/>
  <cols>
    <col min="1" max="1" width="3.7109375" style="5" customWidth="1"/>
    <col min="2" max="2" width="36.7109375" style="5" customWidth="1"/>
    <col min="3" max="3" width="4.7109375" style="5" customWidth="1"/>
    <col min="4" max="4" width="13.7109375" style="5" customWidth="1"/>
    <col min="5" max="5" width="14.5703125" style="33" customWidth="1"/>
    <col min="6" max="6" width="13.7109375" style="33" customWidth="1"/>
    <col min="7" max="7" width="15.42578125" style="33" customWidth="1"/>
    <col min="8" max="8" width="15.140625" style="5" customWidth="1"/>
    <col min="9" max="9" width="12.28515625" style="5" customWidth="1"/>
    <col min="10" max="10" width="13.7109375" style="5" customWidth="1"/>
    <col min="11" max="16384" width="9.140625" style="5"/>
  </cols>
  <sheetData>
    <row r="1" spans="2:10" ht="14.25" customHeight="1" x14ac:dyDescent="0.2">
      <c r="B1" s="1" t="s">
        <v>0</v>
      </c>
      <c r="C1" s="2"/>
      <c r="D1" s="3"/>
      <c r="E1" s="4"/>
      <c r="F1" s="4"/>
      <c r="G1" s="4"/>
    </row>
    <row r="2" spans="2:10" ht="13.15" customHeight="1" x14ac:dyDescent="0.2">
      <c r="B2" s="2" t="s">
        <v>1</v>
      </c>
      <c r="C2" s="2"/>
      <c r="D2" s="3"/>
      <c r="E2" s="4"/>
      <c r="F2" s="4"/>
      <c r="G2" s="4"/>
    </row>
    <row r="3" spans="2:10" ht="13.15" customHeight="1" x14ac:dyDescent="0.2">
      <c r="B3" s="48" t="s">
        <v>64</v>
      </c>
      <c r="C3" s="2"/>
      <c r="D3" s="3"/>
      <c r="E3" s="4"/>
      <c r="F3" s="4"/>
      <c r="G3" s="4"/>
    </row>
    <row r="4" spans="2:10" ht="13.15" customHeight="1" x14ac:dyDescent="0.2">
      <c r="B4" s="51"/>
      <c r="C4" s="2"/>
      <c r="D4" s="3"/>
      <c r="E4" s="4"/>
      <c r="F4" s="4"/>
      <c r="G4" s="4"/>
    </row>
    <row r="5" spans="2:10" ht="1.5" customHeight="1" thickBot="1" x14ac:dyDescent="0.25">
      <c r="B5" s="49"/>
      <c r="C5" s="49"/>
      <c r="D5" s="49"/>
      <c r="E5" s="50"/>
      <c r="F5" s="50"/>
      <c r="G5" s="50"/>
    </row>
    <row r="6" spans="2:10" s="6" customFormat="1" ht="15" customHeight="1" thickTop="1" x14ac:dyDescent="0.2">
      <c r="B6" s="87"/>
      <c r="C6" s="87"/>
      <c r="D6" s="89" t="s">
        <v>2</v>
      </c>
      <c r="E6" s="95" t="s">
        <v>3</v>
      </c>
      <c r="F6" s="95" t="s">
        <v>66</v>
      </c>
      <c r="G6" s="95" t="s">
        <v>65</v>
      </c>
      <c r="H6" s="95" t="s">
        <v>62</v>
      </c>
      <c r="I6" s="91" t="s">
        <v>47</v>
      </c>
      <c r="J6" s="93" t="s">
        <v>40</v>
      </c>
    </row>
    <row r="7" spans="2:10" s="6" customFormat="1" ht="25.5" customHeight="1" thickBot="1" x14ac:dyDescent="0.25">
      <c r="B7" s="88"/>
      <c r="C7" s="88"/>
      <c r="D7" s="90"/>
      <c r="E7" s="96"/>
      <c r="F7" s="97"/>
      <c r="G7" s="97"/>
      <c r="H7" s="97"/>
      <c r="I7" s="92"/>
      <c r="J7" s="94"/>
    </row>
    <row r="8" spans="2:10" s="8" customFormat="1" ht="15" customHeight="1" thickTop="1" x14ac:dyDescent="0.2">
      <c r="B8" s="8" t="s">
        <v>57</v>
      </c>
      <c r="D8" s="57">
        <v>6390</v>
      </c>
      <c r="E8" s="38">
        <v>6596523.5999999996</v>
      </c>
      <c r="F8" s="38"/>
      <c r="G8" s="38"/>
      <c r="H8" s="38"/>
      <c r="I8" s="38">
        <v>11609889.75</v>
      </c>
      <c r="J8" s="9">
        <f>SUM(D8:I8)</f>
        <v>18212803.350000001</v>
      </c>
    </row>
    <row r="9" spans="2:10" ht="15" customHeight="1" x14ac:dyDescent="0.2">
      <c r="B9" s="5" t="s">
        <v>5</v>
      </c>
      <c r="D9" s="39"/>
      <c r="E9" s="40"/>
      <c r="F9" s="40"/>
      <c r="G9" s="40"/>
      <c r="H9" s="40"/>
      <c r="I9" s="40"/>
      <c r="J9" s="10"/>
    </row>
    <row r="10" spans="2:10" ht="12.4" customHeight="1" x14ac:dyDescent="0.2">
      <c r="B10" s="5" t="s">
        <v>6</v>
      </c>
      <c r="D10" s="39">
        <v>2881579.56</v>
      </c>
      <c r="E10" s="41">
        <v>4727273.5999999996</v>
      </c>
      <c r="F10" s="41"/>
      <c r="G10" s="41"/>
      <c r="H10" s="41"/>
      <c r="I10" s="40">
        <v>0</v>
      </c>
      <c r="J10" s="10">
        <f>SUM(D10:I10)</f>
        <v>7608853.1600000001</v>
      </c>
    </row>
    <row r="11" spans="2:10" ht="12.4" customHeight="1" x14ac:dyDescent="0.2">
      <c r="B11" s="5" t="s">
        <v>7</v>
      </c>
      <c r="D11" s="39">
        <v>891532.5</v>
      </c>
      <c r="E11" s="41">
        <v>681628.96</v>
      </c>
      <c r="F11" s="41"/>
      <c r="G11" s="41"/>
      <c r="H11" s="41"/>
      <c r="I11" s="40">
        <v>0</v>
      </c>
      <c r="J11" s="10">
        <f>SUM(D11:I11)</f>
        <v>1573161.46</v>
      </c>
    </row>
    <row r="12" spans="2:10" s="11" customFormat="1" ht="12.4" customHeight="1" x14ac:dyDescent="0.2">
      <c r="B12" s="11" t="s">
        <v>8</v>
      </c>
      <c r="D12" s="58">
        <v>0</v>
      </c>
      <c r="E12" s="42">
        <v>0</v>
      </c>
      <c r="F12" s="42"/>
      <c r="G12" s="42"/>
      <c r="H12" s="42"/>
      <c r="I12" s="59">
        <v>0</v>
      </c>
      <c r="J12" s="12">
        <f>SUM(D12:I12)</f>
        <v>0</v>
      </c>
    </row>
    <row r="13" spans="2:10" ht="12.4" customHeight="1" x14ac:dyDescent="0.2">
      <c r="B13" s="5" t="s">
        <v>9</v>
      </c>
      <c r="D13" s="43">
        <f>SUM(D10:D12)</f>
        <v>3773112.06</v>
      </c>
      <c r="E13" s="43">
        <f>SUM(E10:E12)</f>
        <v>5408902.5599999996</v>
      </c>
      <c r="F13" s="43"/>
      <c r="G13" s="43"/>
      <c r="H13" s="43"/>
      <c r="I13" s="43">
        <f>SUM(I10:I12)</f>
        <v>0</v>
      </c>
      <c r="J13" s="13">
        <f>SUM(J10:J12)</f>
        <v>9182014.620000001</v>
      </c>
    </row>
    <row r="14" spans="2:10" s="11" customFormat="1" ht="12.4" customHeight="1" x14ac:dyDescent="0.2">
      <c r="B14" s="11" t="s">
        <v>10</v>
      </c>
      <c r="D14" s="58">
        <v>1522.8</v>
      </c>
      <c r="E14" s="42">
        <v>1099715.67</v>
      </c>
      <c r="F14" s="42"/>
      <c r="G14" s="42"/>
      <c r="H14" s="42"/>
      <c r="I14" s="44">
        <v>1973262</v>
      </c>
      <c r="J14" s="12">
        <f>SUM(D14:I14)</f>
        <v>3074500.4699999997</v>
      </c>
    </row>
    <row r="15" spans="2:10" ht="12.4" customHeight="1" x14ac:dyDescent="0.2">
      <c r="B15" s="5" t="s">
        <v>11</v>
      </c>
      <c r="D15" s="43">
        <f>SUM(D13:D14)</f>
        <v>3774634.86</v>
      </c>
      <c r="E15" s="43">
        <f>SUM(E13:E14)</f>
        <v>6508618.2299999995</v>
      </c>
      <c r="F15" s="43"/>
      <c r="G15" s="43"/>
      <c r="H15" s="43"/>
      <c r="I15" s="43">
        <f>SUM(I13:I14)</f>
        <v>1973262</v>
      </c>
      <c r="J15" s="13">
        <f>SUM(J13:J14)</f>
        <v>12256515.09</v>
      </c>
    </row>
    <row r="16" spans="2:10" s="11" customFormat="1" ht="12.4" customHeight="1" x14ac:dyDescent="0.2">
      <c r="B16" s="11" t="s">
        <v>12</v>
      </c>
      <c r="D16" s="58">
        <v>14699.85</v>
      </c>
      <c r="E16" s="42">
        <v>1950978.26</v>
      </c>
      <c r="F16" s="42"/>
      <c r="G16" s="42"/>
      <c r="H16" s="42"/>
      <c r="I16" s="59">
        <v>772930</v>
      </c>
      <c r="J16" s="12">
        <f>SUM(D16:I16)</f>
        <v>2738608.1100000003</v>
      </c>
    </row>
    <row r="17" spans="2:10" s="11" customFormat="1" ht="12.4" customHeight="1" x14ac:dyDescent="0.2">
      <c r="B17" s="11" t="s">
        <v>41</v>
      </c>
      <c r="D17" s="44">
        <f>D15-D16</f>
        <v>3759935.01</v>
      </c>
      <c r="E17" s="44">
        <f>E15-E16</f>
        <v>4557639.97</v>
      </c>
      <c r="F17" s="44"/>
      <c r="G17" s="44"/>
      <c r="H17" s="44"/>
      <c r="I17" s="44">
        <f>I15-I16</f>
        <v>1200332</v>
      </c>
      <c r="J17" s="14">
        <f>J15-J16</f>
        <v>9517906.9800000004</v>
      </c>
    </row>
    <row r="18" spans="2:10" s="11" customFormat="1" ht="15" customHeight="1" x14ac:dyDescent="0.2">
      <c r="B18" s="11" t="s">
        <v>13</v>
      </c>
      <c r="D18" s="44">
        <f>D8-D17</f>
        <v>-3753545.01</v>
      </c>
      <c r="E18" s="44">
        <f>E8-E17</f>
        <v>2038883.63</v>
      </c>
      <c r="F18" s="44"/>
      <c r="G18" s="44"/>
      <c r="H18" s="44"/>
      <c r="I18" s="44">
        <f>I8-I17</f>
        <v>10409557.75</v>
      </c>
      <c r="J18" s="14">
        <f>J8-J17</f>
        <v>8694896.370000001</v>
      </c>
    </row>
    <row r="19" spans="2:10" s="16" customFormat="1" ht="15" hidden="1" customHeight="1" x14ac:dyDescent="0.2">
      <c r="B19" s="15"/>
      <c r="D19" s="39"/>
      <c r="E19" s="41"/>
      <c r="F19" s="41"/>
      <c r="G19" s="41"/>
      <c r="H19" s="41"/>
      <c r="I19" s="40"/>
      <c r="J19" s="10"/>
    </row>
    <row r="20" spans="2:10" ht="13.15" customHeight="1" x14ac:dyDescent="0.2">
      <c r="B20" s="2" t="s">
        <v>14</v>
      </c>
      <c r="C20" s="2"/>
      <c r="D20" s="39"/>
      <c r="E20" s="41"/>
      <c r="F20" s="41"/>
      <c r="G20" s="41"/>
      <c r="H20" s="41"/>
      <c r="I20" s="40"/>
      <c r="J20" s="10"/>
    </row>
    <row r="21" spans="2:10" ht="12.4" customHeight="1" x14ac:dyDescent="0.2">
      <c r="B21" s="17" t="s">
        <v>15</v>
      </c>
      <c r="C21" s="17"/>
      <c r="D21" s="39">
        <v>0</v>
      </c>
      <c r="E21" s="41">
        <v>0</v>
      </c>
      <c r="F21" s="41"/>
      <c r="G21" s="41"/>
      <c r="H21" s="41"/>
      <c r="I21" s="40">
        <v>201375</v>
      </c>
      <c r="J21" s="10">
        <f t="shared" ref="J21:J26" si="0">SUM(D21:I21)</f>
        <v>201375</v>
      </c>
    </row>
    <row r="22" spans="2:10" ht="12.4" customHeight="1" x14ac:dyDescent="0.2">
      <c r="B22" s="17" t="s">
        <v>16</v>
      </c>
      <c r="C22" s="17"/>
      <c r="D22" s="39">
        <v>0</v>
      </c>
      <c r="E22" s="41">
        <v>0</v>
      </c>
      <c r="F22" s="41"/>
      <c r="G22" s="41"/>
      <c r="H22" s="41"/>
      <c r="I22" s="40">
        <v>75156.639999999999</v>
      </c>
      <c r="J22" s="10">
        <f t="shared" si="0"/>
        <v>75156.639999999999</v>
      </c>
    </row>
    <row r="23" spans="2:10" ht="12.4" customHeight="1" x14ac:dyDescent="0.2">
      <c r="B23" s="17" t="s">
        <v>17</v>
      </c>
      <c r="C23" s="17"/>
      <c r="D23" s="39">
        <v>7450</v>
      </c>
      <c r="E23" s="41">
        <v>4962.5</v>
      </c>
      <c r="F23" s="41"/>
      <c r="G23" s="41"/>
      <c r="H23" s="41"/>
      <c r="I23" s="40">
        <v>0</v>
      </c>
      <c r="J23" s="10">
        <f t="shared" si="0"/>
        <v>12412.5</v>
      </c>
    </row>
    <row r="24" spans="2:10" ht="12.4" customHeight="1" x14ac:dyDescent="0.2">
      <c r="B24" s="17" t="s">
        <v>18</v>
      </c>
      <c r="C24" s="17"/>
      <c r="D24" s="39">
        <f>37600.21+30000</f>
        <v>67600.209999999992</v>
      </c>
      <c r="E24" s="41">
        <f>31796.22+25000</f>
        <v>56796.22</v>
      </c>
      <c r="F24" s="41"/>
      <c r="G24" s="41"/>
      <c r="H24" s="41"/>
      <c r="I24" s="40">
        <f>7500+8524.99</f>
        <v>16024.99</v>
      </c>
      <c r="J24" s="10">
        <f t="shared" si="0"/>
        <v>140421.41999999998</v>
      </c>
    </row>
    <row r="25" spans="2:10" ht="12.4" customHeight="1" x14ac:dyDescent="0.2">
      <c r="B25" s="17" t="s">
        <v>19</v>
      </c>
      <c r="C25" s="17"/>
      <c r="D25" s="39">
        <v>261</v>
      </c>
      <c r="E25" s="41">
        <v>0</v>
      </c>
      <c r="F25" s="41"/>
      <c r="G25" s="41"/>
      <c r="H25" s="41"/>
      <c r="I25" s="40">
        <v>0</v>
      </c>
      <c r="J25" s="10">
        <f t="shared" si="0"/>
        <v>261</v>
      </c>
    </row>
    <row r="26" spans="2:10" ht="12.4" customHeight="1" x14ac:dyDescent="0.2">
      <c r="B26" s="17" t="s">
        <v>20</v>
      </c>
      <c r="C26" s="17"/>
      <c r="D26" s="39">
        <v>13732.12</v>
      </c>
      <c r="E26" s="41">
        <v>4443.75</v>
      </c>
      <c r="F26" s="41"/>
      <c r="G26" s="41"/>
      <c r="H26" s="41"/>
      <c r="I26" s="40">
        <v>6600</v>
      </c>
      <c r="J26" s="10">
        <f t="shared" si="0"/>
        <v>24775.870000000003</v>
      </c>
    </row>
    <row r="27" spans="2:10" ht="12.4" customHeight="1" x14ac:dyDescent="0.2">
      <c r="B27" s="17" t="s">
        <v>61</v>
      </c>
      <c r="C27" s="17"/>
      <c r="D27" s="39"/>
      <c r="E27" s="41">
        <v>3300</v>
      </c>
      <c r="F27" s="41"/>
      <c r="G27" s="41"/>
      <c r="H27" s="41"/>
      <c r="I27" s="40"/>
      <c r="J27" s="10"/>
    </row>
    <row r="28" spans="2:10" ht="12.4" customHeight="1" x14ac:dyDescent="0.2">
      <c r="B28" s="17" t="s">
        <v>21</v>
      </c>
      <c r="C28" s="17"/>
      <c r="D28" s="39">
        <v>1978.38</v>
      </c>
      <c r="E28" s="41">
        <v>8613</v>
      </c>
      <c r="F28" s="41"/>
      <c r="G28" s="41"/>
      <c r="H28" s="41"/>
      <c r="I28" s="40">
        <v>0</v>
      </c>
      <c r="J28" s="10">
        <f t="shared" ref="J28:J38" si="1">SUM(D28:I28)</f>
        <v>10591.380000000001</v>
      </c>
    </row>
    <row r="29" spans="2:10" ht="12.4" customHeight="1" x14ac:dyDescent="0.2">
      <c r="B29" s="17" t="s">
        <v>22</v>
      </c>
      <c r="C29" s="17"/>
      <c r="D29" s="39">
        <v>0</v>
      </c>
      <c r="E29" s="41">
        <v>0</v>
      </c>
      <c r="F29" s="41"/>
      <c r="G29" s="41"/>
      <c r="H29" s="41"/>
      <c r="I29" s="60">
        <v>6590162.0499999998</v>
      </c>
      <c r="J29" s="10">
        <f t="shared" si="1"/>
        <v>6590162.0499999998</v>
      </c>
    </row>
    <row r="30" spans="2:10" ht="12.4" customHeight="1" x14ac:dyDescent="0.2">
      <c r="B30" s="17" t="s">
        <v>48</v>
      </c>
      <c r="C30" s="17"/>
      <c r="D30" s="39">
        <v>0</v>
      </c>
      <c r="E30" s="41">
        <f>'[2]2010 FPC'!M28</f>
        <v>0</v>
      </c>
      <c r="F30" s="41"/>
      <c r="G30" s="41"/>
      <c r="H30" s="41"/>
      <c r="I30" s="40">
        <v>0</v>
      </c>
      <c r="J30" s="10">
        <f t="shared" si="1"/>
        <v>0</v>
      </c>
    </row>
    <row r="31" spans="2:10" ht="12.4" customHeight="1" x14ac:dyDescent="0.2">
      <c r="B31" s="17" t="s">
        <v>23</v>
      </c>
      <c r="C31" s="17"/>
      <c r="D31" s="39">
        <v>562.5</v>
      </c>
      <c r="E31" s="41">
        <f>[3]IS!$J$29</f>
        <v>1125</v>
      </c>
      <c r="F31" s="41"/>
      <c r="G31" s="41"/>
      <c r="H31" s="41"/>
      <c r="I31" s="40">
        <v>0</v>
      </c>
      <c r="J31" s="10">
        <f t="shared" si="1"/>
        <v>1687.5</v>
      </c>
    </row>
    <row r="32" spans="2:10" ht="12.4" customHeight="1" x14ac:dyDescent="0.2">
      <c r="B32" s="17" t="s">
        <v>24</v>
      </c>
      <c r="C32" s="17"/>
      <c r="D32" s="39">
        <v>9383.58</v>
      </c>
      <c r="E32" s="41">
        <v>2765</v>
      </c>
      <c r="F32" s="41"/>
      <c r="G32" s="41"/>
      <c r="H32" s="41"/>
      <c r="I32" s="40">
        <v>7500</v>
      </c>
      <c r="J32" s="10">
        <f t="shared" si="1"/>
        <v>19648.580000000002</v>
      </c>
    </row>
    <row r="33" spans="2:10" ht="12.4" customHeight="1" x14ac:dyDescent="0.2">
      <c r="B33" s="17" t="s">
        <v>25</v>
      </c>
      <c r="C33" s="17"/>
      <c r="D33" s="39">
        <v>0</v>
      </c>
      <c r="E33" s="41">
        <f>'[2]2010 FPC'!M32</f>
        <v>0</v>
      </c>
      <c r="F33" s="41"/>
      <c r="G33" s="41"/>
      <c r="H33" s="41"/>
      <c r="I33" s="40">
        <v>0</v>
      </c>
      <c r="J33" s="10">
        <f t="shared" si="1"/>
        <v>0</v>
      </c>
    </row>
    <row r="34" spans="2:10" ht="12.4" customHeight="1" x14ac:dyDescent="0.2">
      <c r="B34" s="17" t="s">
        <v>26</v>
      </c>
      <c r="C34" s="17"/>
      <c r="D34" s="39">
        <v>0</v>
      </c>
      <c r="E34" s="41">
        <v>0</v>
      </c>
      <c r="F34" s="41"/>
      <c r="G34" s="41"/>
      <c r="H34" s="41"/>
      <c r="I34" s="40">
        <v>42453.760000000002</v>
      </c>
      <c r="J34" s="10">
        <f t="shared" si="1"/>
        <v>42453.760000000002</v>
      </c>
    </row>
    <row r="35" spans="2:10" ht="12.4" customHeight="1" x14ac:dyDescent="0.2">
      <c r="B35" s="17" t="s">
        <v>27</v>
      </c>
      <c r="C35" s="17"/>
      <c r="D35" s="39">
        <v>0</v>
      </c>
      <c r="E35" s="41">
        <v>0</v>
      </c>
      <c r="F35" s="41"/>
      <c r="G35" s="41"/>
      <c r="H35" s="41"/>
      <c r="I35" s="40">
        <v>0</v>
      </c>
      <c r="J35" s="10">
        <f t="shared" si="1"/>
        <v>0</v>
      </c>
    </row>
    <row r="36" spans="2:10" ht="12.4" customHeight="1" x14ac:dyDescent="0.2">
      <c r="B36" s="17" t="s">
        <v>28</v>
      </c>
      <c r="C36" s="17"/>
      <c r="D36" s="39">
        <v>48950</v>
      </c>
      <c r="E36" s="41">
        <v>500</v>
      </c>
      <c r="F36" s="41"/>
      <c r="G36" s="41"/>
      <c r="H36" s="41"/>
      <c r="I36" s="40">
        <v>0</v>
      </c>
      <c r="J36" s="10">
        <f t="shared" si="1"/>
        <v>49450</v>
      </c>
    </row>
    <row r="37" spans="2:10" ht="12.4" customHeight="1" x14ac:dyDescent="0.2">
      <c r="B37" s="17" t="s">
        <v>29</v>
      </c>
      <c r="C37" s="17"/>
      <c r="D37" s="39">
        <v>51922.87</v>
      </c>
      <c r="E37" s="41">
        <v>59355.44</v>
      </c>
      <c r="F37" s="41"/>
      <c r="G37" s="41"/>
      <c r="H37" s="41"/>
      <c r="I37" s="40">
        <v>55840.12</v>
      </c>
      <c r="J37" s="10">
        <f t="shared" si="1"/>
        <v>167118.43</v>
      </c>
    </row>
    <row r="38" spans="2:10" s="11" customFormat="1" ht="12.4" customHeight="1" x14ac:dyDescent="0.2">
      <c r="B38" s="18" t="s">
        <v>30</v>
      </c>
      <c r="C38" s="18"/>
      <c r="D38" s="58">
        <v>9687.25</v>
      </c>
      <c r="E38" s="42">
        <v>43132.75</v>
      </c>
      <c r="F38" s="42"/>
      <c r="G38" s="42"/>
      <c r="H38" s="42"/>
      <c r="I38" s="59">
        <v>0</v>
      </c>
      <c r="J38" s="12">
        <f t="shared" si="1"/>
        <v>52820</v>
      </c>
    </row>
    <row r="39" spans="2:10" s="19" customFormat="1" ht="15" customHeight="1" x14ac:dyDescent="0.2">
      <c r="B39" s="19" t="s">
        <v>31</v>
      </c>
      <c r="D39" s="45">
        <f>SUM(D21:D38)</f>
        <v>211527.90999999997</v>
      </c>
      <c r="E39" s="45">
        <f>SUM(E21:E38)</f>
        <v>184993.66</v>
      </c>
      <c r="F39" s="45"/>
      <c r="G39" s="45"/>
      <c r="H39" s="45"/>
      <c r="I39" s="45">
        <f>SUM(I21:I38)</f>
        <v>6995112.5599999996</v>
      </c>
      <c r="J39" s="20">
        <f>SUM(J21:J38)</f>
        <v>7388334.129999999</v>
      </c>
    </row>
    <row r="40" spans="2:10" ht="15" customHeight="1" x14ac:dyDescent="0.2">
      <c r="B40" s="5" t="s">
        <v>32</v>
      </c>
      <c r="D40" s="43">
        <f>D18-D39</f>
        <v>-3965072.92</v>
      </c>
      <c r="E40" s="43">
        <f>E18-E39</f>
        <v>1853889.97</v>
      </c>
      <c r="F40" s="43"/>
      <c r="G40" s="43"/>
      <c r="H40" s="43"/>
      <c r="I40" s="43">
        <f>I18-I39</f>
        <v>3414445.1900000004</v>
      </c>
      <c r="J40" s="13">
        <f>SUM(D40:I40)</f>
        <v>1303262.2400000002</v>
      </c>
    </row>
    <row r="41" spans="2:10" ht="12.4" customHeight="1" x14ac:dyDescent="0.2">
      <c r="B41" s="5" t="s">
        <v>33</v>
      </c>
      <c r="D41" s="39">
        <v>0</v>
      </c>
      <c r="E41" s="41">
        <v>0</v>
      </c>
      <c r="F41" s="41"/>
      <c r="G41" s="41"/>
      <c r="H41" s="41"/>
      <c r="I41" s="40">
        <v>2901.3</v>
      </c>
      <c r="J41" s="10">
        <f>SUM(D41:I41)</f>
        <v>2901.3</v>
      </c>
    </row>
    <row r="42" spans="2:10" s="19" customFormat="1" ht="15" customHeight="1" x14ac:dyDescent="0.2">
      <c r="B42" s="19" t="s">
        <v>34</v>
      </c>
      <c r="D42" s="46">
        <f>SUM(D40:D41)</f>
        <v>-3965072.92</v>
      </c>
      <c r="E42" s="46">
        <f>SUM(E40:E41)</f>
        <v>1853889.97</v>
      </c>
      <c r="F42" s="46"/>
      <c r="G42" s="46"/>
      <c r="H42" s="46"/>
      <c r="I42" s="46">
        <f>SUM(I40:I41)</f>
        <v>3417346.49</v>
      </c>
      <c r="J42" s="21">
        <f>SUM(J40:J41)</f>
        <v>1306163.5400000003</v>
      </c>
    </row>
    <row r="43" spans="2:10" ht="15" customHeight="1" x14ac:dyDescent="0.2">
      <c r="B43" s="5" t="s">
        <v>35</v>
      </c>
      <c r="D43" s="39"/>
      <c r="E43" s="41"/>
      <c r="F43" s="41"/>
      <c r="G43" s="41"/>
      <c r="H43" s="41"/>
      <c r="I43" s="40"/>
      <c r="J43" s="10"/>
    </row>
    <row r="44" spans="2:10" ht="12.4" customHeight="1" x14ac:dyDescent="0.2">
      <c r="B44" s="22" t="s">
        <v>36</v>
      </c>
      <c r="C44" s="22"/>
      <c r="D44" s="39">
        <v>3258.11</v>
      </c>
      <c r="E44" s="41">
        <v>3059.31</v>
      </c>
      <c r="F44" s="41"/>
      <c r="G44" s="41"/>
      <c r="H44" s="41"/>
      <c r="I44" s="40">
        <v>15596.88</v>
      </c>
      <c r="J44" s="10">
        <f t="shared" ref="J44:J49" si="2">SUM(D44:I44)</f>
        <v>21914.3</v>
      </c>
    </row>
    <row r="45" spans="2:10" ht="12.4" customHeight="1" x14ac:dyDescent="0.2">
      <c r="B45" s="22" t="s">
        <v>44</v>
      </c>
      <c r="C45" s="22"/>
      <c r="D45" s="39">
        <v>84171.6</v>
      </c>
      <c r="E45" s="41">
        <v>131298.29999999999</v>
      </c>
      <c r="F45" s="41"/>
      <c r="G45" s="41"/>
      <c r="H45" s="41"/>
      <c r="I45" s="40">
        <v>197615.92</v>
      </c>
      <c r="J45" s="10">
        <f t="shared" si="2"/>
        <v>413085.82</v>
      </c>
    </row>
    <row r="46" spans="2:10" ht="12.4" hidden="1" customHeight="1" x14ac:dyDescent="0.2">
      <c r="B46" s="22" t="s">
        <v>42</v>
      </c>
      <c r="C46" s="22"/>
      <c r="D46" s="39"/>
      <c r="E46" s="41"/>
      <c r="F46" s="41"/>
      <c r="G46" s="41"/>
      <c r="H46" s="41"/>
      <c r="I46" s="40">
        <v>0</v>
      </c>
      <c r="J46" s="10">
        <f t="shared" si="2"/>
        <v>0</v>
      </c>
    </row>
    <row r="47" spans="2:10" ht="12.4" hidden="1" customHeight="1" x14ac:dyDescent="0.2">
      <c r="B47" s="22" t="s">
        <v>43</v>
      </c>
      <c r="C47" s="22"/>
      <c r="D47" s="39"/>
      <c r="E47" s="41"/>
      <c r="F47" s="41"/>
      <c r="G47" s="41"/>
      <c r="H47" s="41"/>
      <c r="I47" s="40">
        <v>0</v>
      </c>
      <c r="J47" s="10">
        <f t="shared" si="2"/>
        <v>0</v>
      </c>
    </row>
    <row r="48" spans="2:10" ht="12.4" customHeight="1" x14ac:dyDescent="0.2">
      <c r="B48" s="22" t="s">
        <v>45</v>
      </c>
      <c r="C48" s="22"/>
      <c r="D48" s="39">
        <v>24530</v>
      </c>
      <c r="E48" s="41">
        <v>61930</v>
      </c>
      <c r="F48" s="41"/>
      <c r="G48" s="41"/>
      <c r="H48" s="41"/>
      <c r="I48" s="40">
        <v>0</v>
      </c>
      <c r="J48" s="10">
        <f t="shared" si="2"/>
        <v>86460</v>
      </c>
    </row>
    <row r="49" spans="1:10" ht="12.4" hidden="1" customHeight="1" x14ac:dyDescent="0.2">
      <c r="B49" s="22" t="s">
        <v>46</v>
      </c>
      <c r="C49" s="22"/>
      <c r="D49" s="39">
        <v>0</v>
      </c>
      <c r="E49" s="41">
        <v>0</v>
      </c>
      <c r="F49" s="41"/>
      <c r="G49" s="41"/>
      <c r="H49" s="41"/>
      <c r="I49" s="40">
        <v>0</v>
      </c>
      <c r="J49" s="10">
        <f t="shared" si="2"/>
        <v>0</v>
      </c>
    </row>
    <row r="50" spans="1:10" s="19" customFormat="1" ht="15" customHeight="1" x14ac:dyDescent="0.2">
      <c r="B50" s="52" t="s">
        <v>37</v>
      </c>
      <c r="C50" s="52"/>
      <c r="D50" s="53">
        <f>SUM(D44:D49)</f>
        <v>111959.71</v>
      </c>
      <c r="E50" s="53">
        <f>SUM(E44:E49)</f>
        <v>196287.61</v>
      </c>
      <c r="F50" s="53"/>
      <c r="G50" s="53"/>
      <c r="H50" s="53"/>
      <c r="I50" s="53">
        <f>SUM(I44:I49)</f>
        <v>213212.80000000002</v>
      </c>
      <c r="J50" s="54">
        <f>SUM(J44:J49)</f>
        <v>521460.12</v>
      </c>
    </row>
    <row r="51" spans="1:10" ht="15" hidden="1" customHeight="1" x14ac:dyDescent="0.2">
      <c r="B51" s="5" t="s">
        <v>38</v>
      </c>
      <c r="D51" s="39">
        <v>0</v>
      </c>
      <c r="E51" s="39">
        <v>0</v>
      </c>
      <c r="F51" s="39"/>
      <c r="G51" s="39"/>
      <c r="H51" s="39"/>
      <c r="I51" s="39">
        <v>0</v>
      </c>
      <c r="J51" s="10">
        <f>SUM(D51:I51)</f>
        <v>0</v>
      </c>
    </row>
    <row r="52" spans="1:10" s="23" customFormat="1" ht="18" customHeight="1" thickBot="1" x14ac:dyDescent="0.25">
      <c r="A52" s="36"/>
      <c r="B52" s="36" t="s">
        <v>49</v>
      </c>
      <c r="C52" s="36"/>
      <c r="D52" s="47">
        <f>D40-D50</f>
        <v>-4077032.63</v>
      </c>
      <c r="E52" s="47">
        <f>E42-E50</f>
        <v>1657602.3599999999</v>
      </c>
      <c r="F52" s="47"/>
      <c r="G52" s="47"/>
      <c r="H52" s="47"/>
      <c r="I52" s="47">
        <f>I42-I50</f>
        <v>3204133.6900000004</v>
      </c>
      <c r="J52" s="37">
        <f>J42-J50</f>
        <v>784703.42000000027</v>
      </c>
    </row>
    <row r="53" spans="1:10" ht="15" hidden="1" customHeight="1" thickTop="1" x14ac:dyDescent="0.2">
      <c r="B53" s="5" t="s">
        <v>39</v>
      </c>
      <c r="D53" s="24">
        <f>D52/D8</f>
        <v>-638.03327543035994</v>
      </c>
      <c r="E53" s="24">
        <f>E52/E8</f>
        <v>0.25128423098493879</v>
      </c>
      <c r="F53" s="24">
        <f>I52/I8</f>
        <v>0.27598312809128961</v>
      </c>
      <c r="G53" s="24">
        <f>J52/J8</f>
        <v>4.3085262873603709E-2</v>
      </c>
    </row>
    <row r="54" spans="1:10" s="25" customFormat="1" ht="13.15" customHeight="1" thickTop="1" x14ac:dyDescent="0.2">
      <c r="B54" s="26"/>
      <c r="D54" s="27"/>
      <c r="E54" s="27"/>
      <c r="F54" s="27"/>
      <c r="G54" s="27"/>
    </row>
    <row r="55" spans="1:10" s="25" customFormat="1" ht="13.15" customHeight="1" x14ac:dyDescent="0.2">
      <c r="B55" s="26"/>
      <c r="D55" s="27"/>
      <c r="E55" s="27"/>
      <c r="F55" s="27"/>
      <c r="G55" s="27"/>
    </row>
    <row r="56" spans="1:10" s="25" customFormat="1" ht="13.15" customHeight="1" x14ac:dyDescent="0.2">
      <c r="B56" s="26"/>
      <c r="D56" s="27"/>
      <c r="E56" s="27"/>
      <c r="F56" s="27"/>
      <c r="G56" s="27"/>
    </row>
    <row r="57" spans="1:10" ht="15" customHeight="1" x14ac:dyDescent="0.2">
      <c r="D57" s="24"/>
      <c r="E57" s="24" t="s">
        <v>53</v>
      </c>
      <c r="F57" s="24"/>
      <c r="G57" s="35"/>
    </row>
    <row r="58" spans="1:10" ht="15" customHeight="1" x14ac:dyDescent="0.2">
      <c r="D58" s="24"/>
      <c r="E58" s="24"/>
      <c r="F58" s="24" t="s">
        <v>55</v>
      </c>
      <c r="G58" s="35"/>
    </row>
    <row r="59" spans="1:10" ht="15" customHeight="1" x14ac:dyDescent="0.2">
      <c r="D59" s="24"/>
      <c r="E59" s="24" t="s">
        <v>54</v>
      </c>
      <c r="F59" s="24" t="s">
        <v>56</v>
      </c>
      <c r="G59" s="34"/>
    </row>
    <row r="60" spans="1:10" ht="15" customHeight="1" x14ac:dyDescent="0.2">
      <c r="D60" s="24"/>
      <c r="E60" s="24"/>
      <c r="F60" s="24"/>
      <c r="G60" s="24"/>
    </row>
    <row r="61" spans="1:10" s="15" customFormat="1" ht="13.15" customHeight="1" x14ac:dyDescent="0.2">
      <c r="B61" s="28"/>
      <c r="C61" s="28"/>
      <c r="D61" s="29"/>
      <c r="E61" s="24"/>
      <c r="F61" s="24"/>
      <c r="G61" s="24"/>
    </row>
    <row r="62" spans="1:10" ht="13.15" customHeight="1" x14ac:dyDescent="0.2">
      <c r="D62" s="30"/>
      <c r="E62" s="31"/>
      <c r="F62" s="31"/>
      <c r="G62" s="31"/>
    </row>
    <row r="63" spans="1:10" ht="13.15" customHeight="1" x14ac:dyDescent="0.2">
      <c r="D63" s="32"/>
      <c r="E63" s="31"/>
      <c r="F63" s="31"/>
      <c r="G63" s="31"/>
    </row>
    <row r="64" spans="1:10" ht="13.15" customHeight="1" x14ac:dyDescent="0.2">
      <c r="D64" s="32"/>
      <c r="E64" s="31"/>
      <c r="F64" s="31"/>
      <c r="G64" s="31"/>
    </row>
    <row r="65" spans="2:7" ht="13.15" customHeight="1" x14ac:dyDescent="0.2">
      <c r="B65" s="2"/>
      <c r="C65" s="2"/>
      <c r="D65" s="32"/>
      <c r="E65" s="31"/>
      <c r="F65" s="31"/>
      <c r="G65" s="31"/>
    </row>
    <row r="66" spans="2:7" ht="13.15" customHeight="1" x14ac:dyDescent="0.2">
      <c r="D66" s="32"/>
      <c r="E66" s="31"/>
      <c r="F66" s="31"/>
      <c r="G66" s="31"/>
    </row>
    <row r="67" spans="2:7" ht="13.15" customHeight="1" x14ac:dyDescent="0.2">
      <c r="D67" s="32"/>
      <c r="E67" s="31"/>
      <c r="F67" s="31"/>
      <c r="G67" s="31"/>
    </row>
    <row r="68" spans="2:7" ht="13.15" customHeight="1" x14ac:dyDescent="0.2">
      <c r="D68" s="32"/>
      <c r="E68" s="31"/>
      <c r="F68" s="31"/>
      <c r="G68" s="31"/>
    </row>
    <row r="69" spans="2:7" ht="13.15" customHeight="1" x14ac:dyDescent="0.2">
      <c r="D69" s="32"/>
      <c r="E69" s="31"/>
      <c r="F69" s="31"/>
      <c r="G69" s="31"/>
    </row>
    <row r="71" spans="2:7" ht="13.15" customHeight="1" x14ac:dyDescent="0.2">
      <c r="D71" s="33"/>
    </row>
    <row r="72" spans="2:7" s="33" customFormat="1" ht="13.15" customHeight="1" x14ac:dyDescent="0.2">
      <c r="B72" s="5"/>
      <c r="C72" s="5"/>
    </row>
    <row r="73" spans="2:7" s="33" customFormat="1" ht="13.15" customHeight="1" x14ac:dyDescent="0.2">
      <c r="B73" s="5"/>
      <c r="C73" s="5"/>
    </row>
  </sheetData>
  <mergeCells count="9">
    <mergeCell ref="B6:B7"/>
    <mergeCell ref="C6:C7"/>
    <mergeCell ref="D6:D7"/>
    <mergeCell ref="I6:I7"/>
    <mergeCell ref="J6:J7"/>
    <mergeCell ref="E6:E7"/>
    <mergeCell ref="G6:G7"/>
    <mergeCell ref="H6:H7"/>
    <mergeCell ref="F6:F7"/>
  </mergeCells>
  <phoneticPr fontId="19" type="noConversion"/>
  <pageMargins left="0.75" right="0.75" top="1" bottom="1.5" header="0.5" footer="0.5"/>
  <pageSetup paperSize="5" scale="88" orientation="landscape" r:id="rId1"/>
  <headerFooter alignWithMargins="0"/>
  <rowBreaks count="1" manualBreakCount="1">
    <brk id="6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6" workbookViewId="0">
      <selection activeCell="K40" sqref="K40"/>
    </sheetView>
  </sheetViews>
  <sheetFormatPr defaultRowHeight="13.15" customHeight="1" x14ac:dyDescent="0.2"/>
  <cols>
    <col min="1" max="1" width="38.42578125" style="5" customWidth="1"/>
    <col min="2" max="2" width="13.42578125" style="5" customWidth="1"/>
    <col min="3" max="3" width="14.140625" style="33" customWidth="1"/>
    <col min="4" max="4" width="13" style="33" customWidth="1"/>
    <col min="5" max="5" width="13.28515625" style="33" customWidth="1"/>
    <col min="6" max="6" width="9.140625" style="5"/>
    <col min="7" max="7" width="12" style="5" customWidth="1"/>
    <col min="8" max="16384" width="9.140625" style="5"/>
  </cols>
  <sheetData>
    <row r="1" spans="1:5" ht="12.75" x14ac:dyDescent="0.2">
      <c r="A1" s="1" t="s">
        <v>0</v>
      </c>
      <c r="B1" s="3"/>
      <c r="C1" s="4"/>
      <c r="D1" s="4"/>
      <c r="E1" s="4"/>
    </row>
    <row r="2" spans="1:5" ht="12.75" x14ac:dyDescent="0.2">
      <c r="A2" s="2" t="s">
        <v>1</v>
      </c>
      <c r="B2" s="3"/>
      <c r="C2" s="4"/>
      <c r="D2" s="4"/>
      <c r="E2" s="4"/>
    </row>
    <row r="3" spans="1:5" ht="13.5" thickBot="1" x14ac:dyDescent="0.25">
      <c r="A3" s="1" t="s">
        <v>72</v>
      </c>
      <c r="B3" s="3"/>
      <c r="C3" s="4"/>
      <c r="D3" s="4"/>
      <c r="E3" s="4"/>
    </row>
    <row r="4" spans="1:5" s="6" customFormat="1" ht="13.5" thickTop="1" x14ac:dyDescent="0.2">
      <c r="A4" s="87"/>
      <c r="B4" s="98" t="s">
        <v>2</v>
      </c>
      <c r="C4" s="100" t="s">
        <v>3</v>
      </c>
      <c r="D4" s="102" t="s">
        <v>47</v>
      </c>
      <c r="E4" s="93" t="s">
        <v>40</v>
      </c>
    </row>
    <row r="5" spans="1:5" s="6" customFormat="1" ht="21.75" customHeight="1" thickBot="1" x14ac:dyDescent="0.25">
      <c r="A5" s="88"/>
      <c r="B5" s="99"/>
      <c r="C5" s="101"/>
      <c r="D5" s="103"/>
      <c r="E5" s="94"/>
    </row>
    <row r="6" spans="1:5" s="7" customFormat="1" ht="13.5" thickTop="1" x14ac:dyDescent="0.2">
      <c r="A6" s="3"/>
      <c r="C6" s="76"/>
      <c r="D6" s="76"/>
      <c r="E6" s="77"/>
    </row>
    <row r="7" spans="1:5" s="8" customFormat="1" ht="12.75" x14ac:dyDescent="0.2">
      <c r="A7" s="8" t="s">
        <v>58</v>
      </c>
      <c r="B7" s="83">
        <f>4777110.37+450364.22+406795.44</f>
        <v>5634270.0300000003</v>
      </c>
      <c r="C7" s="80">
        <f>483730.75+576516.75+577593.75+536900.75+779218.75+543276+481227-610+313856.75+354836.75+400630.25+460304+552696.25+360</f>
        <v>6060537.75</v>
      </c>
      <c r="D7" s="80">
        <v>8973987.0999999996</v>
      </c>
      <c r="E7" s="80">
        <f>SUM(B7:D7)</f>
        <v>20668794.880000003</v>
      </c>
    </row>
    <row r="8" spans="1:5" ht="12.75" x14ac:dyDescent="0.2">
      <c r="A8" s="5" t="s">
        <v>5</v>
      </c>
      <c r="B8" s="72"/>
      <c r="C8" s="10"/>
      <c r="D8" s="10"/>
      <c r="E8" s="10"/>
    </row>
    <row r="9" spans="1:5" ht="12.75" x14ac:dyDescent="0.2">
      <c r="A9" s="5" t="s">
        <v>6</v>
      </c>
      <c r="B9" s="72">
        <f>223902.61+294618.11+207661.56+199962.46+288559.14+241902.36+279040.37+255255.84+233845.24+246753.16+247017.4+193829.92-6214.58</f>
        <v>2906133.59</v>
      </c>
      <c r="C9" s="73">
        <f>252684.36+299842.93+341914.31+309224.45+375185.08+233067.49+241004.64+170916.64+228990.71+261679.53+330343.45+315530.32</f>
        <v>3360383.91</v>
      </c>
      <c r="D9" s="10">
        <f>574080+495859+3188985.45</f>
        <v>4258924.45</v>
      </c>
      <c r="E9" s="10">
        <f>SUM(B9:D9)</f>
        <v>10525441.949999999</v>
      </c>
    </row>
    <row r="10" spans="1:5" ht="12.75" x14ac:dyDescent="0.2">
      <c r="A10" s="5" t="s">
        <v>7</v>
      </c>
      <c r="B10" s="72">
        <f>60801.5+68060+66725+50679+68775+62019+64620+63597.5+60622.5+70677.5+53810+46782.5</f>
        <v>737169.5</v>
      </c>
      <c r="C10" s="73">
        <f>45099+50259+52589+48629+63919+48583+50473.5+48631.5+52987+46953+56623+60237</f>
        <v>624983</v>
      </c>
      <c r="D10" s="10">
        <f>29506+29856</f>
        <v>59362</v>
      </c>
      <c r="E10" s="10">
        <f>SUM(B10:D10)</f>
        <v>1421514.5</v>
      </c>
    </row>
    <row r="11" spans="1:5" ht="12.75" x14ac:dyDescent="0.2">
      <c r="A11" s="5" t="s">
        <v>73</v>
      </c>
      <c r="B11" s="13">
        <f>SUM(B9:B10)</f>
        <v>3643303.09</v>
      </c>
      <c r="C11" s="13">
        <f>SUM(C9:C10)</f>
        <v>3985366.91</v>
      </c>
      <c r="D11" s="13">
        <f>SUM(D9:D10)</f>
        <v>4318286.45</v>
      </c>
      <c r="E11" s="13">
        <f>SUM(E9:E10)</f>
        <v>11946956.449999999</v>
      </c>
    </row>
    <row r="12" spans="1:5" s="11" customFormat="1" ht="12.75" x14ac:dyDescent="0.2">
      <c r="A12" s="11" t="s">
        <v>10</v>
      </c>
      <c r="B12" s="74">
        <v>10792.25</v>
      </c>
      <c r="C12" s="75">
        <v>409906.11</v>
      </c>
      <c r="D12" s="14"/>
      <c r="E12" s="12">
        <f>SUM(B12:D12)</f>
        <v>420698.36</v>
      </c>
    </row>
    <row r="13" spans="1:5" ht="12.75" x14ac:dyDescent="0.2">
      <c r="A13" s="5" t="s">
        <v>11</v>
      </c>
      <c r="B13" s="13">
        <f>B12+B11</f>
        <v>3654095.34</v>
      </c>
      <c r="C13" s="13">
        <f t="shared" ref="C13:D13" si="0">C12+C11</f>
        <v>4395273.0200000005</v>
      </c>
      <c r="D13" s="13">
        <f t="shared" si="0"/>
        <v>4318286.45</v>
      </c>
      <c r="E13" s="13">
        <f>E12+E11</f>
        <v>12367654.809999999</v>
      </c>
    </row>
    <row r="14" spans="1:5" s="11" customFormat="1" ht="12.75" x14ac:dyDescent="0.2">
      <c r="A14" s="11" t="s">
        <v>12</v>
      </c>
      <c r="B14" s="74">
        <f>6205+14957</f>
        <v>21162</v>
      </c>
      <c r="C14" s="75">
        <v>182415.49</v>
      </c>
      <c r="D14" s="12">
        <v>1248920</v>
      </c>
      <c r="E14" s="12">
        <f>SUM(B14:D14)</f>
        <v>1452497.49</v>
      </c>
    </row>
    <row r="15" spans="1:5" s="11" customFormat="1" ht="12.75" x14ac:dyDescent="0.2">
      <c r="A15" s="11" t="s">
        <v>41</v>
      </c>
      <c r="B15" s="14">
        <f>B13-B14</f>
        <v>3632933.34</v>
      </c>
      <c r="C15" s="14">
        <f>C13-C14</f>
        <v>4212857.53</v>
      </c>
      <c r="D15" s="14">
        <f>D13-D14</f>
        <v>3069366.45</v>
      </c>
      <c r="E15" s="14">
        <f>E13-E14</f>
        <v>10915157.319999998</v>
      </c>
    </row>
    <row r="16" spans="1:5" s="11" customFormat="1" ht="12.75" x14ac:dyDescent="0.2">
      <c r="A16" s="11" t="s">
        <v>13</v>
      </c>
      <c r="B16" s="14">
        <f>B7-B15</f>
        <v>2001336.6900000004</v>
      </c>
      <c r="C16" s="14">
        <f>C7-C15</f>
        <v>1847680.2199999997</v>
      </c>
      <c r="D16" s="14">
        <f>D7-D15</f>
        <v>5904620.6499999994</v>
      </c>
      <c r="E16" s="14">
        <f>E7-E15</f>
        <v>9753637.5600000042</v>
      </c>
    </row>
    <row r="17" spans="1:5" s="16" customFormat="1" ht="12.75" x14ac:dyDescent="0.2">
      <c r="A17" s="15"/>
      <c r="B17" s="72"/>
      <c r="C17" s="73"/>
      <c r="D17" s="10"/>
      <c r="E17" s="10"/>
    </row>
    <row r="18" spans="1:5" ht="12.75" x14ac:dyDescent="0.2">
      <c r="A18" s="2" t="s">
        <v>14</v>
      </c>
      <c r="B18" s="72"/>
      <c r="C18" s="73"/>
      <c r="D18" s="10"/>
      <c r="E18" s="10"/>
    </row>
    <row r="19" spans="1:5" ht="12.75" x14ac:dyDescent="0.2">
      <c r="A19" s="17" t="s">
        <v>69</v>
      </c>
      <c r="B19" s="72">
        <f>1053+1701+1782+1458+1782+1579.5+880+836+880+968+792+440</f>
        <v>14151.5</v>
      </c>
      <c r="C19" s="73">
        <f>1053+1701+1782+1458+1782+2106+880+836+880+968+792+440</f>
        <v>14678</v>
      </c>
      <c r="D19" s="10">
        <f>164583.28+792+440</f>
        <v>165815.28</v>
      </c>
      <c r="E19" s="10">
        <f t="shared" ref="E19:E36" si="1">SUM(B19:D19)</f>
        <v>194644.78</v>
      </c>
    </row>
    <row r="20" spans="1:5" ht="12.75" x14ac:dyDescent="0.2">
      <c r="A20" s="17" t="s">
        <v>70</v>
      </c>
      <c r="B20" s="72">
        <f>59898.01+50290.65</f>
        <v>110188.66</v>
      </c>
      <c r="C20" s="73">
        <f>41813+42495.16</f>
        <v>84308.160000000003</v>
      </c>
      <c r="D20" s="10">
        <f>14952.63+7437.1</f>
        <v>22389.73</v>
      </c>
      <c r="E20" s="10"/>
    </row>
    <row r="21" spans="1:5" ht="12.75" x14ac:dyDescent="0.2">
      <c r="A21" s="17" t="s">
        <v>16</v>
      </c>
      <c r="B21" s="72"/>
      <c r="C21" s="73"/>
      <c r="D21" s="10">
        <f>77583.43+12521.99+34682.48</f>
        <v>124787.9</v>
      </c>
      <c r="E21" s="10">
        <f t="shared" si="1"/>
        <v>124787.9</v>
      </c>
    </row>
    <row r="22" spans="1:5" ht="12.75" x14ac:dyDescent="0.2">
      <c r="A22" s="17" t="s">
        <v>17</v>
      </c>
      <c r="B22" s="72">
        <f>2456.25+2175+56.25+2205+1980</f>
        <v>8872.5</v>
      </c>
      <c r="C22" s="73">
        <f>337.5+337.5+337.5+393.75+275+350+275+275+275+275+275+335</f>
        <v>3741.25</v>
      </c>
      <c r="D22" s="10">
        <v>162</v>
      </c>
      <c r="E22" s="10">
        <f t="shared" si="1"/>
        <v>12775.75</v>
      </c>
    </row>
    <row r="23" spans="1:5" ht="12.75" x14ac:dyDescent="0.2">
      <c r="A23" s="17" t="s">
        <v>18</v>
      </c>
      <c r="B23" s="72"/>
      <c r="C23" s="73"/>
      <c r="D23" s="10"/>
      <c r="E23" s="10">
        <f t="shared" si="1"/>
        <v>0</v>
      </c>
    </row>
    <row r="24" spans="1:5" ht="12.75" x14ac:dyDescent="0.2">
      <c r="A24" s="17" t="s">
        <v>67</v>
      </c>
      <c r="B24" s="72">
        <v>25596</v>
      </c>
      <c r="C24" s="73">
        <f>9375+20964</f>
        <v>30339</v>
      </c>
      <c r="D24" s="10"/>
      <c r="E24" s="10">
        <f t="shared" si="1"/>
        <v>55935</v>
      </c>
    </row>
    <row r="25" spans="1:5" ht="12.75" x14ac:dyDescent="0.2">
      <c r="A25" s="17" t="s">
        <v>19</v>
      </c>
      <c r="B25" s="72">
        <f>13864+55500</f>
        <v>69364</v>
      </c>
      <c r="C25" s="73">
        <f>35000+500</f>
        <v>35500</v>
      </c>
      <c r="D25" s="10">
        <f>5000+1146</f>
        <v>6146</v>
      </c>
      <c r="E25" s="10">
        <f t="shared" si="1"/>
        <v>111010</v>
      </c>
    </row>
    <row r="26" spans="1:5" ht="12.75" x14ac:dyDescent="0.2">
      <c r="A26" s="17" t="s">
        <v>20</v>
      </c>
      <c r="B26" s="72">
        <f>152+157.5+900.56+596+30+163.12+37.81+3125+2012.25+50.56</f>
        <v>7224.8</v>
      </c>
      <c r="C26" s="73">
        <f>175+378+183+145+1323+57+25+1220+1053+454</f>
        <v>5013</v>
      </c>
      <c r="D26" s="10"/>
      <c r="E26" s="10">
        <f t="shared" si="1"/>
        <v>12237.8</v>
      </c>
    </row>
    <row r="27" spans="1:5" ht="12.75" x14ac:dyDescent="0.2">
      <c r="A27" s="17" t="s">
        <v>21</v>
      </c>
      <c r="B27" s="72">
        <f>300.1+190+200+375.04+200</f>
        <v>1265.1400000000001</v>
      </c>
      <c r="C27" s="73">
        <f>500+1100+1500+1680+200</f>
        <v>4980</v>
      </c>
      <c r="D27" s="10">
        <f>1303+2456</f>
        <v>3759</v>
      </c>
      <c r="E27" s="10">
        <f t="shared" si="1"/>
        <v>10004.14</v>
      </c>
    </row>
    <row r="28" spans="1:5" ht="12.75" x14ac:dyDescent="0.2">
      <c r="A28" s="17" t="s">
        <v>22</v>
      </c>
      <c r="B28" s="72"/>
      <c r="C28" s="73"/>
      <c r="D28" s="79">
        <v>5393117.2000000002</v>
      </c>
      <c r="E28" s="10">
        <f t="shared" si="1"/>
        <v>5393117.2000000002</v>
      </c>
    </row>
    <row r="29" spans="1:5" ht="12.75" x14ac:dyDescent="0.2">
      <c r="A29" s="17" t="s">
        <v>23</v>
      </c>
      <c r="B29" s="72">
        <v>1500</v>
      </c>
      <c r="C29" s="73">
        <v>1500</v>
      </c>
      <c r="D29" s="10"/>
      <c r="E29" s="10">
        <f t="shared" si="1"/>
        <v>3000</v>
      </c>
    </row>
    <row r="30" spans="1:5" ht="12.75" x14ac:dyDescent="0.2">
      <c r="A30" s="17" t="s">
        <v>24</v>
      </c>
      <c r="B30" s="72">
        <f>1048.78+1048.78+1048.78+1048.78+1048.78+1048.78+1048.78+1048.78+1048.78+1048.78+1048.78+1048.78</f>
        <v>12585.360000000002</v>
      </c>
      <c r="C30" s="73"/>
      <c r="D30" s="10"/>
      <c r="E30" s="10">
        <f t="shared" si="1"/>
        <v>12585.360000000002</v>
      </c>
    </row>
    <row r="31" spans="1:5" ht="12.75" x14ac:dyDescent="0.2">
      <c r="A31" s="17" t="s">
        <v>48</v>
      </c>
      <c r="B31" s="72">
        <v>9068.23</v>
      </c>
      <c r="C31" s="73">
        <v>6708.9</v>
      </c>
      <c r="D31" s="10"/>
      <c r="E31" s="10">
        <f t="shared" si="1"/>
        <v>15777.13</v>
      </c>
    </row>
    <row r="32" spans="1:5" ht="12.75" x14ac:dyDescent="0.2">
      <c r="A32" s="17" t="s">
        <v>26</v>
      </c>
      <c r="B32" s="72"/>
      <c r="C32" s="73"/>
      <c r="D32" s="10">
        <f>63493.2+6349.41+6349.32</f>
        <v>76191.929999999993</v>
      </c>
      <c r="E32" s="10">
        <f t="shared" si="1"/>
        <v>76191.929999999993</v>
      </c>
    </row>
    <row r="33" spans="1:5" ht="12.75" x14ac:dyDescent="0.2">
      <c r="A33" s="17" t="s">
        <v>28</v>
      </c>
      <c r="B33" s="72"/>
      <c r="C33" s="73"/>
      <c r="D33" s="10"/>
      <c r="E33" s="10">
        <f t="shared" si="1"/>
        <v>0</v>
      </c>
    </row>
    <row r="34" spans="1:5" ht="12.75" x14ac:dyDescent="0.2">
      <c r="A34" s="17" t="s">
        <v>29</v>
      </c>
      <c r="B34" s="72">
        <f>5054.92+5054.92+5054.92+5054.92+4754.92+4754.92+3646.27+3646.27+4064.4+4172.4+4297.65+4262.7</f>
        <v>53819.209999999992</v>
      </c>
      <c r="C34" s="73">
        <f>3943.25+3943.25+3943.25+3568.25+3128.19+3128.19+3128.19+3128.19+3128.19+3128.19+3128.19+3053.38</f>
        <v>40348.709999999992</v>
      </c>
      <c r="D34" s="10">
        <f>12254.52+38055.89+4084.84+946.2+4084.84+946.2</f>
        <v>60372.489999999991</v>
      </c>
      <c r="E34" s="10">
        <f t="shared" si="1"/>
        <v>154540.40999999997</v>
      </c>
    </row>
    <row r="35" spans="1:5" ht="12.75" x14ac:dyDescent="0.2">
      <c r="A35" s="17" t="s">
        <v>59</v>
      </c>
      <c r="B35" s="72"/>
      <c r="C35" s="73"/>
      <c r="D35" s="10"/>
      <c r="E35" s="10">
        <f t="shared" si="1"/>
        <v>0</v>
      </c>
    </row>
    <row r="36" spans="1:5" s="11" customFormat="1" ht="12.75" x14ac:dyDescent="0.2">
      <c r="A36" s="18" t="s">
        <v>30</v>
      </c>
      <c r="B36" s="74">
        <f>2705+141+224+474+127.5+278.5+161.5+302+211+675.5+722</f>
        <v>6022</v>
      </c>
      <c r="C36" s="75">
        <f>394+2220+5981+2090+819+1246+377+111+200+3660+289+192</f>
        <v>17579</v>
      </c>
      <c r="D36" s="12"/>
      <c r="E36" s="12">
        <f t="shared" si="1"/>
        <v>23601</v>
      </c>
    </row>
    <row r="37" spans="1:5" s="19" customFormat="1" ht="12.75" x14ac:dyDescent="0.2">
      <c r="A37" s="19" t="s">
        <v>31</v>
      </c>
      <c r="B37" s="20">
        <f>SUM(B19:B36)-7650</f>
        <v>312007.40000000002</v>
      </c>
      <c r="C37" s="20">
        <f>SUM(C19:C36)</f>
        <v>244696.02</v>
      </c>
      <c r="D37" s="20">
        <f>SUM(D19:D36)</f>
        <v>5852741.5300000003</v>
      </c>
      <c r="E37" s="20">
        <f>SUM(E19:E36)</f>
        <v>6200208.4000000004</v>
      </c>
    </row>
    <row r="38" spans="1:5" ht="12.75" x14ac:dyDescent="0.2">
      <c r="A38" s="5" t="s">
        <v>32</v>
      </c>
      <c r="B38" s="13">
        <f>B16-B37</f>
        <v>1689329.2900000005</v>
      </c>
      <c r="C38" s="13">
        <f>C16-C37</f>
        <v>1602984.1999999997</v>
      </c>
      <c r="D38" s="13">
        <f>D16-D37</f>
        <v>51879.11999999918</v>
      </c>
      <c r="E38" s="13">
        <f>SUM(B38:D38)</f>
        <v>3344192.6099999994</v>
      </c>
    </row>
    <row r="39" spans="1:5" ht="12.75" x14ac:dyDescent="0.2">
      <c r="A39" s="5" t="s">
        <v>52</v>
      </c>
      <c r="B39" s="72">
        <v>0</v>
      </c>
      <c r="C39" s="73">
        <v>0</v>
      </c>
      <c r="D39" s="10"/>
      <c r="E39" s="10">
        <f>SUM(B39:D39)</f>
        <v>0</v>
      </c>
    </row>
    <row r="40" spans="1:5" s="19" customFormat="1" ht="12.75" x14ac:dyDescent="0.2">
      <c r="A40" s="19" t="s">
        <v>34</v>
      </c>
      <c r="B40" s="21">
        <f>SUM(B38:B39)</f>
        <v>1689329.2900000005</v>
      </c>
      <c r="C40" s="21">
        <f>SUM(C38:C39)</f>
        <v>1602984.1999999997</v>
      </c>
      <c r="D40" s="21">
        <f>SUM(D38:D39)</f>
        <v>51879.11999999918</v>
      </c>
      <c r="E40" s="21">
        <f>SUM(E38:E39)</f>
        <v>3344192.6099999994</v>
      </c>
    </row>
    <row r="41" spans="1:5" ht="12.75" x14ac:dyDescent="0.2">
      <c r="A41" s="5" t="s">
        <v>35</v>
      </c>
      <c r="B41" s="72"/>
      <c r="C41" s="73"/>
      <c r="D41" s="10"/>
      <c r="E41" s="10"/>
    </row>
    <row r="42" spans="1:5" ht="12.75" x14ac:dyDescent="0.2">
      <c r="A42" s="22" t="s">
        <v>36</v>
      </c>
      <c r="B42" s="72">
        <f>394.75+338.75+330.75+277.75+351.5+373+361.5+315+291.25+352.5+281+303.5</f>
        <v>3971.25</v>
      </c>
      <c r="C42" s="73">
        <f>531.15+397.05+390.65+348.65+471.05+255+272.5+235.3+258.35+250.5+266.3+279.75</f>
        <v>3956.2500000000005</v>
      </c>
      <c r="D42" s="10">
        <f>15429.75+713.3+750.25</f>
        <v>16893.3</v>
      </c>
      <c r="E42" s="10">
        <f t="shared" ref="E42:E47" si="2">SUM(B42:D42)</f>
        <v>24820.799999999999</v>
      </c>
    </row>
    <row r="43" spans="1:5" ht="12.75" x14ac:dyDescent="0.2">
      <c r="A43" s="22" t="s">
        <v>44</v>
      </c>
      <c r="B43" s="72">
        <f>19976+19976+19976+19976+19976+21914+21914+21914+21914+21914+21914+21914</f>
        <v>253278</v>
      </c>
      <c r="C43" s="73">
        <f>6925.1+6925.1+6925.1+6925.1+6925.1+7453.29+7453.29+7453.29+12225.37+12225.37+12225.37+12225.37</f>
        <v>105886.84999999999</v>
      </c>
      <c r="D43" s="10">
        <f>307898.4+12110.1+12110.1</f>
        <v>332118.59999999998</v>
      </c>
      <c r="E43" s="10">
        <f t="shared" si="2"/>
        <v>691283.45</v>
      </c>
    </row>
    <row r="44" spans="1:5" ht="12.75" x14ac:dyDescent="0.2">
      <c r="A44" s="22" t="s">
        <v>19</v>
      </c>
      <c r="B44" s="72">
        <f>5308.37+5308.37+5308.37+5308.37+5308.37+5540.93+5540.93+5540.93+5540.93+5540.93+5540.93+5540.93</f>
        <v>65328.36</v>
      </c>
      <c r="C44" s="73"/>
      <c r="D44" s="10">
        <f>88639.07+9231.18+9231.18</f>
        <v>107101.43</v>
      </c>
      <c r="E44" s="10">
        <f t="shared" si="2"/>
        <v>172429.78999999998</v>
      </c>
    </row>
    <row r="45" spans="1:5" ht="12.75" x14ac:dyDescent="0.2">
      <c r="A45" s="22" t="s">
        <v>50</v>
      </c>
      <c r="B45" s="72">
        <f>4270.56+5440.17+4115.8+3759.62+5360.01+4558.82+5154.91+4782.8+4417.02+4761.46+4512.41+3609.19</f>
        <v>54742.76999999999</v>
      </c>
      <c r="C45" s="73">
        <f>4466.75+5251.53+5917.55+5367.8+6586.56+4224.76+4372.17+3293.22+4229.67+4629.49+6869.76+5636.51</f>
        <v>60845.77</v>
      </c>
      <c r="D45" s="10"/>
      <c r="E45" s="10">
        <f t="shared" si="2"/>
        <v>115588.53999999998</v>
      </c>
    </row>
    <row r="46" spans="1:5" ht="12.75" x14ac:dyDescent="0.2">
      <c r="A46" s="22" t="s">
        <v>51</v>
      </c>
      <c r="B46" s="72">
        <f>979+979+979+979+979+979+979+979+979+979+979+979</f>
        <v>11748</v>
      </c>
      <c r="C46" s="73">
        <f>979+979+979+979+979+979+979+979+979+979+979+979</f>
        <v>11748</v>
      </c>
      <c r="D46" s="10">
        <f>11715+1171.5+1171.5</f>
        <v>14058</v>
      </c>
      <c r="E46" s="10">
        <f t="shared" si="2"/>
        <v>37554</v>
      </c>
    </row>
    <row r="47" spans="1:5" ht="12.75" x14ac:dyDescent="0.2">
      <c r="A47" s="22" t="s">
        <v>45</v>
      </c>
      <c r="B47" s="72">
        <f>2230+2230+2230+2230+2230+2230+2230+2230+2230+2230+2230+2230</f>
        <v>26760</v>
      </c>
      <c r="C47" s="73">
        <f>5630+5630+5630+5630+5630+5630+5630+5630+5630+5630+5630+5630</f>
        <v>67560</v>
      </c>
      <c r="D47" s="10">
        <f>33750+3375+3375</f>
        <v>40500</v>
      </c>
      <c r="E47" s="10">
        <f t="shared" si="2"/>
        <v>134820</v>
      </c>
    </row>
    <row r="48" spans="1:5" s="19" customFormat="1" ht="12.75" x14ac:dyDescent="0.2">
      <c r="A48" s="19" t="s">
        <v>37</v>
      </c>
      <c r="B48" s="20">
        <f>SUM(B42:B47)</f>
        <v>415828.38</v>
      </c>
      <c r="C48" s="20">
        <f>SUM(C42:C47)</f>
        <v>249996.87</v>
      </c>
      <c r="D48" s="20">
        <f>SUM(D42:D47)</f>
        <v>510671.32999999996</v>
      </c>
      <c r="E48" s="20">
        <f>SUM(E42:E47)</f>
        <v>1176496.58</v>
      </c>
    </row>
    <row r="49" spans="1:7" ht="12.75" x14ac:dyDescent="0.2">
      <c r="A49" s="5" t="s">
        <v>38</v>
      </c>
      <c r="B49" s="72">
        <v>0</v>
      </c>
      <c r="C49" s="72">
        <v>0</v>
      </c>
      <c r="D49" s="72">
        <v>0</v>
      </c>
      <c r="E49" s="10">
        <f>SUM(B49:D49)</f>
        <v>0</v>
      </c>
    </row>
    <row r="50" spans="1:7" s="23" customFormat="1" ht="13.5" thickBot="1" x14ac:dyDescent="0.25">
      <c r="A50" s="69" t="s">
        <v>49</v>
      </c>
      <c r="B50" s="84">
        <f>B38-B48</f>
        <v>1273500.9100000006</v>
      </c>
      <c r="C50" s="85">
        <f>C40-C48</f>
        <v>1352987.3299999996</v>
      </c>
      <c r="D50" s="84">
        <f>D40-D48</f>
        <v>-458792.21000000078</v>
      </c>
      <c r="E50" s="84">
        <f>E40-E48</f>
        <v>2167696.0299999993</v>
      </c>
    </row>
    <row r="51" spans="1:7" ht="13.5" thickTop="1" x14ac:dyDescent="0.2">
      <c r="A51" s="5" t="s">
        <v>39</v>
      </c>
      <c r="B51" s="78">
        <f>B50/B7</f>
        <v>0.22602766697711871</v>
      </c>
      <c r="C51" s="78">
        <f>C50/C7</f>
        <v>0.22324542570500441</v>
      </c>
      <c r="D51" s="78">
        <f>D50/D7</f>
        <v>-5.1124679018092284E-2</v>
      </c>
      <c r="E51" s="78">
        <f>E50/E7</f>
        <v>0.10487771747628853</v>
      </c>
    </row>
    <row r="52" spans="1:7" ht="13.5" thickBot="1" x14ac:dyDescent="0.25">
      <c r="A52" s="70" t="s">
        <v>74</v>
      </c>
      <c r="B52" s="71">
        <f>B50/(B48+B37+B15)</f>
        <v>0.29203584848353553</v>
      </c>
      <c r="C52" s="71">
        <f t="shared" ref="C52:D52" si="3">C50/(C48+C37+C15)</f>
        <v>0.28740793178801466</v>
      </c>
      <c r="D52" s="71">
        <f t="shared" si="3"/>
        <v>-4.8638073140714742E-2</v>
      </c>
      <c r="E52" s="71">
        <f>E50/(E48+E37+E15)</f>
        <v>0.11850603259789462</v>
      </c>
    </row>
    <row r="53" spans="1:7" ht="13.5" thickTop="1" x14ac:dyDescent="0.2">
      <c r="A53" s="81"/>
      <c r="B53" s="82"/>
      <c r="C53" s="82"/>
      <c r="D53" s="82"/>
      <c r="E53" s="82"/>
    </row>
    <row r="54" spans="1:7" ht="12.75" x14ac:dyDescent="0.2">
      <c r="A54" s="81"/>
      <c r="B54" s="82"/>
      <c r="C54" s="82"/>
      <c r="D54" s="82"/>
      <c r="E54" s="82"/>
      <c r="G54" s="86"/>
    </row>
    <row r="55" spans="1:7" ht="12.75" x14ac:dyDescent="0.2">
      <c r="A55" s="81"/>
      <c r="B55" s="82"/>
      <c r="C55" s="82"/>
      <c r="D55" s="82"/>
      <c r="E55" s="82"/>
    </row>
    <row r="56" spans="1:7" ht="12.75" x14ac:dyDescent="0.2">
      <c r="A56" s="81"/>
      <c r="B56" s="82"/>
      <c r="C56" s="82"/>
      <c r="D56" s="29" t="s">
        <v>53</v>
      </c>
      <c r="E56" s="82"/>
    </row>
    <row r="57" spans="1:7" ht="12.75" x14ac:dyDescent="0.2">
      <c r="A57" s="81"/>
      <c r="B57" s="82"/>
      <c r="C57" s="82"/>
      <c r="D57" s="82"/>
      <c r="E57" s="82"/>
    </row>
    <row r="58" spans="1:7" s="25" customFormat="1" ht="12.75" x14ac:dyDescent="0.2">
      <c r="A58" s="26"/>
      <c r="B58" s="27"/>
      <c r="C58" s="56"/>
      <c r="D58" s="27"/>
      <c r="E58" s="27"/>
    </row>
    <row r="59" spans="1:7" ht="12.75" x14ac:dyDescent="0.2">
      <c r="B59" s="78"/>
      <c r="D59" s="78"/>
      <c r="E59" s="35"/>
    </row>
    <row r="60" spans="1:7" ht="12.75" x14ac:dyDescent="0.2">
      <c r="B60" s="78"/>
      <c r="C60" s="78"/>
      <c r="D60" s="78" t="s">
        <v>71</v>
      </c>
      <c r="E60" s="35"/>
    </row>
    <row r="61" spans="1:7" ht="12.75" x14ac:dyDescent="0.2">
      <c r="B61" s="78"/>
      <c r="C61" s="78" t="s">
        <v>54</v>
      </c>
      <c r="D61" s="78" t="s">
        <v>56</v>
      </c>
      <c r="E61" s="34"/>
    </row>
    <row r="62" spans="1:7" ht="12.75" x14ac:dyDescent="0.2">
      <c r="B62" s="78"/>
      <c r="C62" s="78"/>
      <c r="D62" s="78"/>
      <c r="E62" s="35"/>
    </row>
    <row r="63" spans="1:7" ht="12.75" x14ac:dyDescent="0.2">
      <c r="B63" s="55"/>
      <c r="C63" s="31"/>
      <c r="D63" s="31"/>
      <c r="E63" s="31"/>
    </row>
    <row r="64" spans="1:7" ht="12.75" x14ac:dyDescent="0.2">
      <c r="A64" s="2"/>
      <c r="B64" s="32"/>
      <c r="C64" s="31"/>
      <c r="D64" s="31"/>
      <c r="E64" s="31"/>
    </row>
    <row r="65" spans="2:5" ht="12.75" x14ac:dyDescent="0.2">
      <c r="B65" s="32"/>
      <c r="C65" s="31"/>
      <c r="D65" s="31"/>
      <c r="E65" s="31"/>
    </row>
    <row r="66" spans="2:5" ht="12.75" x14ac:dyDescent="0.2">
      <c r="B66" s="32"/>
      <c r="C66" s="31"/>
      <c r="D66" s="31"/>
      <c r="E66" s="31"/>
    </row>
    <row r="67" spans="2:5" ht="12.75" x14ac:dyDescent="0.2">
      <c r="B67" s="32"/>
      <c r="C67" s="31"/>
      <c r="D67" s="31"/>
      <c r="E67" s="31"/>
    </row>
    <row r="68" spans="2:5" ht="12.75" x14ac:dyDescent="0.2">
      <c r="B68" s="32"/>
      <c r="C68" s="31"/>
      <c r="D68" s="31"/>
      <c r="E68" s="31"/>
    </row>
    <row r="69" spans="2:5" ht="12.75" x14ac:dyDescent="0.2">
      <c r="B69" s="33"/>
    </row>
    <row r="70" spans="2:5" ht="12.75" x14ac:dyDescent="0.2">
      <c r="B70" s="33"/>
    </row>
    <row r="71" spans="2:5" ht="12.75" x14ac:dyDescent="0.2">
      <c r="B71" s="33"/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RF 163 - Graph-11-11</vt:lpstr>
      <vt:lpstr>161-11-2010</vt:lpstr>
      <vt:lpstr>161</vt:lpstr>
      <vt:lpstr>'161-11-2010'!Print_Area</vt:lpstr>
      <vt:lpstr>'RF 163 - Graph-11-11'!Print_Area</vt:lpstr>
      <vt:lpstr>'161-11-2010'!Print_Titles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TabDiBaLiLi</cp:lastModifiedBy>
  <cp:lastPrinted>2013-03-11T09:57:05Z</cp:lastPrinted>
  <dcterms:created xsi:type="dcterms:W3CDTF">2010-06-10T06:53:52Z</dcterms:created>
  <dcterms:modified xsi:type="dcterms:W3CDTF">2014-02-15T07:16:24Z</dcterms:modified>
</cp:coreProperties>
</file>