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6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'161'!$B$1:$L$62</definedName>
    <definedName name="_xlnm.Print_Titles" localSheetId="0">'161'!$B:$B</definedName>
  </definedNames>
  <calcPr fullCalcOnLoad="1" fullPrecision="0"/>
</workbook>
</file>

<file path=xl/sharedStrings.xml><?xml version="1.0" encoding="utf-8"?>
<sst xmlns="http://schemas.openxmlformats.org/spreadsheetml/2006/main" count="67" uniqueCount="66">
  <si>
    <t>Total</t>
  </si>
  <si>
    <t>Revolving Fund 161</t>
  </si>
  <si>
    <t>Total Imputed Costs</t>
  </si>
  <si>
    <t>PWRS</t>
  </si>
  <si>
    <t>Statement of Income and Expenses</t>
  </si>
  <si>
    <t>For the Period Ended December 31, 2010</t>
  </si>
  <si>
    <t>Bakery Project</t>
  </si>
  <si>
    <t>Marketing 
Center</t>
  </si>
  <si>
    <t>Food Processing Center</t>
  </si>
  <si>
    <t>Souvenir &amp; 
Gift Shop</t>
  </si>
  <si>
    <t>Poultry 
Project</t>
  </si>
  <si>
    <t>Multi Vegetable 
Prod Project</t>
  </si>
  <si>
    <t>Strawberry 
Prod Project</t>
  </si>
  <si>
    <t>Sales Revenue</t>
  </si>
  <si>
    <t>Cost of Sales</t>
  </si>
  <si>
    <t xml:space="preserve">     Direct Materials Used</t>
  </si>
  <si>
    <t xml:space="preserve">     Direct Labor</t>
  </si>
  <si>
    <t xml:space="preserve">     Factory Overhead</t>
  </si>
  <si>
    <t xml:space="preserve">     Purchases</t>
  </si>
  <si>
    <t xml:space="preserve">     Total Manufacturing Cost / Purchases</t>
  </si>
  <si>
    <t xml:space="preserve">     Add:  FG / Merchandise Inventory, beginning</t>
  </si>
  <si>
    <t xml:space="preserve">     Total Goods Available for Sale</t>
  </si>
  <si>
    <t xml:space="preserve">     Less: FG / Merchandise Inventory, end</t>
  </si>
  <si>
    <t xml:space="preserve">     Cost of Sales </t>
  </si>
  <si>
    <t xml:space="preserve">Gross Profit </t>
  </si>
  <si>
    <t>Less: Operating Expenses</t>
  </si>
  <si>
    <t xml:space="preserve">Salaries and Wages </t>
  </si>
  <si>
    <t>Overtime and Night Pay</t>
  </si>
  <si>
    <t>PhilHealth Contributions</t>
  </si>
  <si>
    <t>Year End Bonus and Cash Gift</t>
  </si>
  <si>
    <t>Other Personnel Benefits</t>
  </si>
  <si>
    <t>Service Incentive Leave &amp; Holiday Pay</t>
  </si>
  <si>
    <t xml:space="preserve">Office Supplies &amp; Other Supplies Expenses </t>
  </si>
  <si>
    <t>Gasoline, Oil &amp; Lubricants Expenses</t>
  </si>
  <si>
    <t>Agricultural Supplies Expenses</t>
  </si>
  <si>
    <t>Traveling Expenses</t>
  </si>
  <si>
    <t>Fidelity Bond Premiums</t>
  </si>
  <si>
    <t>Taxes, Duties and Licenses</t>
  </si>
  <si>
    <t>Telephone Expenses</t>
  </si>
  <si>
    <t>Advertising Expenses</t>
  </si>
  <si>
    <t>Electricity Expenses</t>
  </si>
  <si>
    <t>Water Expenses</t>
  </si>
  <si>
    <t>Repairs and Maintenance</t>
  </si>
  <si>
    <t>Depreciation Expenses</t>
  </si>
  <si>
    <t>Other Maintenance &amp; Operating Expenses</t>
  </si>
  <si>
    <t>Total Operating Expenses</t>
  </si>
  <si>
    <t>Operating Income</t>
  </si>
  <si>
    <t xml:space="preserve">Add: Other Income - Surcharge </t>
  </si>
  <si>
    <t>Total Operating Income</t>
  </si>
  <si>
    <t>Less: Imputed Costs (Due to Other Funds)</t>
  </si>
  <si>
    <t>Accountable Forms Expenses</t>
  </si>
  <si>
    <t>Salaries and Wages - Regular (Note a)</t>
  </si>
  <si>
    <t>Personnel Benefits - Regular (Annex 4)</t>
  </si>
  <si>
    <t>Wages - UBA Bookkeepers (Annex 3)</t>
  </si>
  <si>
    <t>Electricity Expenses (Annex 1, Note b)</t>
  </si>
  <si>
    <t>Water Expenses (Annex 2, Note c)</t>
  </si>
  <si>
    <t>Space Rental (Note d)</t>
  </si>
  <si>
    <t>Land Use</t>
  </si>
  <si>
    <t>RF 161: Net Income (Loss)</t>
  </si>
  <si>
    <t>Return on Sales (Note e)</t>
  </si>
  <si>
    <t>Certified Correct:</t>
  </si>
  <si>
    <t>IMELDA G. RAMOS</t>
  </si>
  <si>
    <t>Verified Correct:</t>
  </si>
  <si>
    <t>VIOLETA B. BOLINTO</t>
  </si>
  <si>
    <t>Accountant IV</t>
  </si>
  <si>
    <t>Internal Auditor IV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</si>
</sst>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.000_);_(* \(#,##0.000\);_(* &quot;-&quot;??_);_(@_)"/>
    <numFmt numFmtId="171" formatCode="_(* #,##0.000_);_(* \(#,##0.000\);_(* &quot;-&quot;???_);_(@_)"/>
    <numFmt numFmtId="172" formatCode="_(* #,##0.0000_);_(* \(#,##0.0000\);_(* &quot;-&quot;????_);_(@_)"/>
    <numFmt numFmtId="173" formatCode="0.0%"/>
    <numFmt numFmtId="174" formatCode="_(* #,##0.0_);_(* \(#,##0.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m/d/yy;@"/>
    <numFmt numFmtId="178" formatCode="mm/dd/yy;@"/>
    <numFmt numFmtId="179" formatCode="0000"/>
    <numFmt numFmtId="180" formatCode="00000"/>
    <numFmt numFmtId="181" formatCode="#,##0.00;[Red]#,##0.00"/>
    <numFmt numFmtId="182" formatCode="0_);\(0\)"/>
    <numFmt numFmtId="183" formatCode="m/d/yy"/>
    <numFmt numFmtId="184" formatCode="_(* #,##0_);_(* \(#,##0\);_(* &quot;-&quot;??_);_(@_)"/>
    <numFmt numFmtId="185" formatCode="_(* #,##0.000000_);_(* \(#,##0.000000\);_(* &quot;-&quot;??_);_(@_)"/>
    <numFmt numFmtId="186" formatCode="_(* #,##0.000000000_);_(* \(#,##0.000000000\);_(* &quot;-&quot;??_);_(@_)"/>
    <numFmt numFmtId="187" formatCode="0.000"/>
    <numFmt numFmtId="188" formatCode="_(* #,##0.00000000000000_);_(* \(#,##0.00000000000000\);_(* &quot;-&quot;??_);_(@_)"/>
    <numFmt numFmtId="189" formatCode="_(* #,##0.0_);_(* \(#,##0.0\);_(* &quot;-&quot;?_);_(@_)"/>
    <numFmt numFmtId="190" formatCode="[$-409]dddd\,\ mmmm\ dd\,\ yyyy"/>
    <numFmt numFmtId="191" formatCode="#,##0;[Red]#,##0"/>
    <numFmt numFmtId="192" formatCode="0.00000000000000"/>
    <numFmt numFmtId="193" formatCode="00\-000"/>
    <numFmt numFmtId="194" formatCode="mm\-dd\-yy"/>
    <numFmt numFmtId="195" formatCode="[$-409]mmmm\ d\,\ yyyy;@"/>
    <numFmt numFmtId="196" formatCode="_(* #,##0.00000000_);_(* \(#,##0.00000000\);_(* &quot;-&quot;??_);_(@_)"/>
    <numFmt numFmtId="197" formatCode="0.0000000"/>
    <numFmt numFmtId="198" formatCode="[$-409]mmm\-yy;@"/>
    <numFmt numFmtId="199" formatCode="_(* #,##0.000000_);_(* \(#,##0.000000\);_(* &quot;-&quot;??????_);_(@_)"/>
    <numFmt numFmtId="200" formatCode="mmm\-yyyy"/>
    <numFmt numFmtId="201" formatCode="m/d/yyyy;@"/>
    <numFmt numFmtId="202" formatCode="mm\-dd\-yyyy"/>
    <numFmt numFmtId="203" formatCode="#,##0.000"/>
    <numFmt numFmtId="204" formatCode="#,##0.0"/>
    <numFmt numFmtId="205" formatCode="#,##0.0000"/>
    <numFmt numFmtId="206" formatCode="0.0"/>
    <numFmt numFmtId="207" formatCode="0.0000"/>
    <numFmt numFmtId="208" formatCode="0.00000"/>
    <numFmt numFmtId="209" formatCode="0.000000"/>
    <numFmt numFmtId="210" formatCode="_(* #,##0.0_);_(* \(#,##0.0\);_(* &quot;-&quot;_);_(@_)"/>
    <numFmt numFmtId="211" formatCode="_(* #,##0.00_);_(* \(#,##0.00\);_(* &quot;-&quot;_);_(@_)"/>
    <numFmt numFmtId="212" formatCode="0.00000000"/>
    <numFmt numFmtId="213" formatCode="_(* #,##0.00_);_(* \(#,##0.00\);_(* &quot;-&quot;?_);_(@_)"/>
    <numFmt numFmtId="214" formatCode="mm/yy"/>
    <numFmt numFmtId="215" formatCode="_(* #,##0_);_(* \(#,##0\);_(* &quot;-&quot;?_);_(@_)"/>
    <numFmt numFmtId="216" formatCode="_(* #,##0.000_);_(* \(#,##0.000\);_(* &quot;-&quot;?_);_(@_)"/>
    <numFmt numFmtId="217" formatCode="#\ ?/2"/>
    <numFmt numFmtId="218" formatCode="_(* #,##0.000_);_(* \(#,##0.000\);_(* &quot;-&quot;_);_(@_)"/>
    <numFmt numFmtId="219" formatCode="_(* #,##0.0000_);_(* \(#,##0.0000\);_(* &quot;-&quot;???_);_(@_)"/>
    <numFmt numFmtId="220" formatCode="_(* #,##0.00_);_(* \(#,##0.00\);_(* &quot;-&quot;???_);_(@_)"/>
    <numFmt numFmtId="221" formatCode="0;[Red]0"/>
    <numFmt numFmtId="222" formatCode="_(* #,##0.0000000000000_);_(* \(#,##0.0000000000000\);_(* &quot;-&quot;??_);_(@_)"/>
    <numFmt numFmtId="223" formatCode="mm/yyyy"/>
    <numFmt numFmtId="224" formatCode="mm\-yyyy"/>
    <numFmt numFmtId="225" formatCode="mm/dd/yyyy"/>
    <numFmt numFmtId="226" formatCode="0000000"/>
    <numFmt numFmtId="227" formatCode="000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Tahoma"/>
      <family val="2"/>
    </font>
    <font>
      <i/>
      <sz val="9"/>
      <color indexed="8"/>
      <name val="Verdana"/>
      <family val="2"/>
    </font>
    <font>
      <i/>
      <sz val="9"/>
      <color indexed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43" fontId="7" fillId="0" borderId="0" xfId="0" applyNumberFormat="1" applyFont="1" applyFill="1" applyBorder="1" applyAlignment="1">
      <alignment horizontal="right" vertical="center"/>
    </xf>
    <xf numFmtId="43" fontId="7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3" fontId="4" fillId="0" borderId="10" xfId="42" applyFont="1" applyFill="1" applyBorder="1" applyAlignment="1">
      <alignment vertical="center" shrinkToFit="1"/>
    </xf>
    <xf numFmtId="43" fontId="4" fillId="0" borderId="10" xfId="42" applyNumberFormat="1" applyFont="1" applyFill="1" applyBorder="1" applyAlignment="1">
      <alignment vertical="center" shrinkToFit="1"/>
    </xf>
    <xf numFmtId="43" fontId="5" fillId="0" borderId="0" xfId="42" applyFont="1" applyFill="1" applyBorder="1" applyAlignment="1">
      <alignment vertical="center" shrinkToFit="1"/>
    </xf>
    <xf numFmtId="43" fontId="5" fillId="0" borderId="0" xfId="42" applyNumberFormat="1" applyFont="1" applyFill="1" applyBorder="1" applyAlignment="1">
      <alignment vertical="center" shrinkToFit="1"/>
    </xf>
    <xf numFmtId="43" fontId="5" fillId="0" borderId="0" xfId="42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vertical="center"/>
    </xf>
    <xf numFmtId="43" fontId="5" fillId="0" borderId="10" xfId="42" applyFont="1" applyFill="1" applyBorder="1" applyAlignment="1">
      <alignment vertical="center" shrinkToFit="1"/>
    </xf>
    <xf numFmtId="43" fontId="5" fillId="0" borderId="10" xfId="42" applyNumberFormat="1" applyFont="1" applyFill="1" applyBorder="1" applyAlignment="1">
      <alignment vertical="center" shrinkToFit="1"/>
    </xf>
    <xf numFmtId="43" fontId="5" fillId="0" borderId="10" xfId="42" applyNumberFormat="1" applyFont="1" applyFill="1" applyBorder="1" applyAlignment="1">
      <alignment horizontal="right" vertical="center" shrinkToFit="1"/>
    </xf>
    <xf numFmtId="43" fontId="5" fillId="0" borderId="0" xfId="0" applyNumberFormat="1" applyFont="1" applyFill="1" applyBorder="1" applyAlignment="1">
      <alignment vertical="center" shrinkToFit="1"/>
    </xf>
    <xf numFmtId="43" fontId="5" fillId="0" borderId="10" xfId="0" applyNumberFormat="1" applyFont="1" applyFill="1" applyBorder="1" applyAlignment="1">
      <alignment vertical="center" shrinkToFit="1"/>
    </xf>
    <xf numFmtId="10" fontId="5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vertical="center"/>
    </xf>
    <xf numFmtId="43" fontId="7" fillId="0" borderId="0" xfId="42" applyFont="1" applyFill="1" applyBorder="1" applyAlignment="1">
      <alignment vertical="center" shrinkToFit="1"/>
    </xf>
    <xf numFmtId="43" fontId="7" fillId="0" borderId="0" xfId="42" applyNumberFormat="1" applyFont="1" applyFill="1" applyBorder="1" applyAlignment="1">
      <alignment vertical="center" shrinkToFit="1"/>
    </xf>
    <xf numFmtId="43" fontId="5" fillId="0" borderId="0" xfId="0" applyNumberFormat="1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indent="2"/>
    </xf>
    <xf numFmtId="0" fontId="5" fillId="0" borderId="11" xfId="0" applyFont="1" applyFill="1" applyBorder="1" applyAlignment="1">
      <alignment vertical="center"/>
    </xf>
    <xf numFmtId="43" fontId="5" fillId="0" borderId="11" xfId="0" applyNumberFormat="1" applyFont="1" applyFill="1" applyBorder="1" applyAlignment="1">
      <alignment vertical="center" shrinkToFit="1"/>
    </xf>
    <xf numFmtId="43" fontId="5" fillId="0" borderId="11" xfId="42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left" vertical="center" indent="2"/>
    </xf>
    <xf numFmtId="43" fontId="8" fillId="0" borderId="0" xfId="42" applyFont="1" applyFill="1" applyBorder="1" applyAlignment="1">
      <alignment vertical="center" shrinkToFit="1"/>
    </xf>
    <xf numFmtId="43" fontId="8" fillId="0" borderId="0" xfId="42" applyNumberFormat="1" applyFont="1" applyFill="1" applyBorder="1" applyAlignment="1">
      <alignment vertical="center" shrinkToFit="1"/>
    </xf>
    <xf numFmtId="43" fontId="8" fillId="0" borderId="0" xfId="42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/>
    </xf>
    <xf numFmtId="43" fontId="8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 indent="2"/>
    </xf>
    <xf numFmtId="0" fontId="7" fillId="0" borderId="0" xfId="0" applyNumberFormat="1" applyFont="1" applyFill="1" applyBorder="1" applyAlignment="1">
      <alignment horizontal="left" vertical="center" indent="2"/>
    </xf>
    <xf numFmtId="43" fontId="7" fillId="0" borderId="0" xfId="42" applyNumberFormat="1" applyFont="1" applyFill="1" applyBorder="1" applyAlignment="1">
      <alignment horizontal="right" vertical="center" shrinkToFit="1"/>
    </xf>
    <xf numFmtId="43" fontId="7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3" fontId="4" fillId="0" borderId="12" xfId="0" applyNumberFormat="1" applyFont="1" applyFill="1" applyBorder="1" applyAlignment="1">
      <alignment vertical="center" shrinkToFit="1"/>
    </xf>
    <xf numFmtId="10" fontId="5" fillId="0" borderId="0" xfId="60" applyNumberFormat="1" applyFont="1" applyFill="1" applyBorder="1" applyAlignment="1">
      <alignment vertical="center"/>
    </xf>
    <xf numFmtId="43" fontId="5" fillId="0" borderId="0" xfId="60" applyNumberFormat="1" applyFont="1" applyFill="1" applyBorder="1" applyAlignment="1">
      <alignment vertical="center"/>
    </xf>
    <xf numFmtId="43" fontId="5" fillId="0" borderId="0" xfId="6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left" vertical="center"/>
    </xf>
    <xf numFmtId="181" fontId="5" fillId="0" borderId="0" xfId="42" applyNumberFormat="1" applyFont="1" applyFill="1" applyBorder="1" applyAlignment="1">
      <alignment vertical="center"/>
    </xf>
    <xf numFmtId="43" fontId="5" fillId="0" borderId="0" xfId="42" applyNumberFormat="1" applyFont="1" applyFill="1" applyBorder="1" applyAlignment="1">
      <alignment vertical="center"/>
    </xf>
    <xf numFmtId="43" fontId="5" fillId="0" borderId="0" xfId="42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horizontal="left" vertical="center"/>
    </xf>
    <xf numFmtId="43" fontId="5" fillId="0" borderId="0" xfId="0" applyNumberFormat="1" applyFont="1" applyFill="1" applyBorder="1" applyAlignment="1">
      <alignment vertical="center"/>
    </xf>
    <xf numFmtId="43" fontId="5" fillId="0" borderId="0" xfId="60" applyNumberFormat="1" applyFont="1" applyFill="1" applyBorder="1" applyAlignment="1">
      <alignment horizontal="left" vertical="center"/>
    </xf>
    <xf numFmtId="43" fontId="6" fillId="0" borderId="13" xfId="0" applyNumberFormat="1" applyFont="1" applyFill="1" applyBorder="1" applyAlignment="1">
      <alignment horizontal="center" vertical="center"/>
    </xf>
    <xf numFmtId="43" fontId="6" fillId="0" borderId="10" xfId="0" applyNumberFormat="1" applyFont="1" applyFill="1" applyBorder="1" applyAlignment="1">
      <alignment horizontal="center" vertical="center"/>
    </xf>
    <xf numFmtId="43" fontId="6" fillId="0" borderId="13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3" fontId="6" fillId="0" borderId="13" xfId="0" applyNumberFormat="1" applyFont="1" applyFill="1" applyBorder="1" applyAlignment="1">
      <alignment horizontal="center" vertical="center" wrapText="1" shrinkToFit="1"/>
    </xf>
    <xf numFmtId="43" fontId="6" fillId="0" borderId="10" xfId="0" applyNumberFormat="1" applyFont="1" applyFill="1" applyBorder="1" applyAlignment="1">
      <alignment horizontal="center" vertical="center" shrinkToFit="1"/>
    </xf>
    <xf numFmtId="43" fontId="4" fillId="0" borderId="0" xfId="6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other%20reports\SIE%202010\My%20Documents\My%20Documents\summary%20march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My%20Documents\IGP%20Financial%20Reports%202010\12%20DEC%202010\FPC%2012.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My%20Documents\IGP%20Financial%20Reports%202010\12%20DEC%202010\Strawberry%2012.2010%20-%20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RM%20-%20bake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 2010 - 161"/>
      <sheetName val="March 2010 - 163"/>
      <sheetName val="2010 FPC"/>
      <sheetName val="2010 hmeg"/>
    </sheetNames>
    <sheetDataSet>
      <sheetData sheetId="2">
        <row r="28">
          <cell r="M28">
            <v>0</v>
          </cell>
          <cell r="AI28">
            <v>0</v>
          </cell>
          <cell r="AT28">
            <v>0</v>
          </cell>
          <cell r="BE28">
            <v>0</v>
          </cell>
        </row>
        <row r="30">
          <cell r="M30">
            <v>0</v>
          </cell>
          <cell r="AI30">
            <v>0</v>
          </cell>
          <cell r="AT30">
            <v>0</v>
          </cell>
          <cell r="BE30">
            <v>0</v>
          </cell>
        </row>
        <row r="32">
          <cell r="AI32">
            <v>0</v>
          </cell>
          <cell r="BE32">
            <v>0</v>
          </cell>
        </row>
        <row r="45">
          <cell r="BE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Summary"/>
      <sheetName val="IS"/>
      <sheetName val="Income"/>
      <sheetName val="BS"/>
      <sheetName val="CF"/>
      <sheetName val="RCR"/>
      <sheetName val="CDAP"/>
      <sheetName val="AR"/>
      <sheetName val="FG"/>
      <sheetName val="RM"/>
      <sheetName val="other supplies"/>
      <sheetName val="AF"/>
      <sheetName val="office supplies"/>
      <sheetName val="PPE1"/>
      <sheetName val="PPE2"/>
      <sheetName val="PPE"/>
      <sheetName val="labor"/>
      <sheetName val="AR.2010"/>
      <sheetName val="AR.2009"/>
      <sheetName val="AR-2008"/>
    </sheetNames>
    <sheetDataSet>
      <sheetData sheetId="2">
        <row r="20">
          <cell r="K20">
            <v>739150.96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F "/>
      <sheetName val="inventory"/>
      <sheetName val="AR"/>
      <sheetName val="CDAP"/>
      <sheetName val="RCR"/>
      <sheetName val="CF"/>
      <sheetName val="IS"/>
      <sheetName val="Summary"/>
      <sheetName val="TB"/>
      <sheetName val="labor"/>
      <sheetName val="CD"/>
    </sheetNames>
    <sheetDataSet>
      <sheetData sheetId="6">
        <row r="15">
          <cell r="I15">
            <v>203263.6</v>
          </cell>
        </row>
        <row r="19">
          <cell r="G19">
            <v>65919</v>
          </cell>
        </row>
        <row r="20">
          <cell r="G20">
            <v>320166</v>
          </cell>
        </row>
        <row r="21">
          <cell r="G21">
            <v>19602.02</v>
          </cell>
        </row>
        <row r="22">
          <cell r="G22">
            <v>17500</v>
          </cell>
        </row>
        <row r="24">
          <cell r="G24">
            <v>235034</v>
          </cell>
        </row>
        <row r="25">
          <cell r="G25">
            <v>13451</v>
          </cell>
        </row>
        <row r="27">
          <cell r="G27">
            <v>1269</v>
          </cell>
        </row>
        <row r="29">
          <cell r="G29">
            <v>9012.5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PC"/>
      <sheetName val="BAKERY"/>
      <sheetName val="IS"/>
    </sheetNames>
    <sheetDataSet>
      <sheetData sheetId="0">
        <row r="22">
          <cell r="B22">
            <v>3529706.1177777783</v>
          </cell>
          <cell r="C22">
            <v>1485497.6893256297</v>
          </cell>
        </row>
      </sheetData>
      <sheetData sheetId="2">
        <row r="12">
          <cell r="I12">
            <v>2569551.98</v>
          </cell>
        </row>
        <row r="18">
          <cell r="I18">
            <v>549119.55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1:N75"/>
  <sheetViews>
    <sheetView tabSelected="1" zoomScale="90" zoomScaleNormal="90" zoomScalePageLayoutView="0" workbookViewId="0" topLeftCell="A1">
      <pane xSplit="2" ySplit="6" topLeftCell="C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2" sqref="E12"/>
    </sheetView>
  </sheetViews>
  <sheetFormatPr defaultColWidth="9.140625" defaultRowHeight="12.75" customHeight="1"/>
  <cols>
    <col min="1" max="1" width="3.7109375" style="5" customWidth="1"/>
    <col min="2" max="2" width="36.7109375" style="5" customWidth="1"/>
    <col min="3" max="3" width="4.7109375" style="5" customWidth="1"/>
    <col min="4" max="4" width="14.7109375" style="5" customWidth="1"/>
    <col min="5" max="5" width="15.7109375" style="55" customWidth="1"/>
    <col min="6" max="6" width="14.7109375" style="55" customWidth="1"/>
    <col min="7" max="7" width="12.7109375" style="55" customWidth="1"/>
    <col min="8" max="8" width="15.7109375" style="55" customWidth="1"/>
    <col min="9" max="9" width="13.7109375" style="55" customWidth="1"/>
    <col min="10" max="12" width="14.7109375" style="55" customWidth="1"/>
    <col min="13" max="13" width="9.140625" style="5" customWidth="1"/>
    <col min="14" max="14" width="12.421875" style="5" bestFit="1" customWidth="1"/>
    <col min="15" max="16384" width="9.140625" style="5" customWidth="1"/>
  </cols>
  <sheetData>
    <row r="1" spans="2:12" ht="12.75" customHeight="1">
      <c r="B1" s="1" t="s">
        <v>1</v>
      </c>
      <c r="C1" s="2"/>
      <c r="D1" s="3"/>
      <c r="E1" s="4"/>
      <c r="F1" s="4"/>
      <c r="G1" s="4"/>
      <c r="H1" s="4"/>
      <c r="I1" s="4"/>
      <c r="J1" s="4"/>
      <c r="K1" s="4"/>
      <c r="L1" s="4"/>
    </row>
    <row r="2" spans="2:12" ht="12.75" customHeight="1">
      <c r="B2" s="2" t="s">
        <v>4</v>
      </c>
      <c r="C2" s="2"/>
      <c r="D2" s="3"/>
      <c r="E2" s="4"/>
      <c r="F2" s="4"/>
      <c r="G2" s="4"/>
      <c r="H2" s="4"/>
      <c r="I2" s="4"/>
      <c r="J2" s="4"/>
      <c r="K2" s="4"/>
      <c r="L2" s="4"/>
    </row>
    <row r="3" spans="2:12" ht="12.75" customHeight="1">
      <c r="B3" s="1" t="s">
        <v>5</v>
      </c>
      <c r="C3" s="2"/>
      <c r="D3" s="3"/>
      <c r="E3" s="4"/>
      <c r="F3" s="4"/>
      <c r="G3" s="4"/>
      <c r="H3" s="4"/>
      <c r="I3" s="4"/>
      <c r="J3" s="4"/>
      <c r="K3" s="4"/>
      <c r="L3" s="4"/>
    </row>
    <row r="4" spans="5:12" s="3" customFormat="1" ht="12" customHeight="1">
      <c r="E4" s="4"/>
      <c r="F4" s="4"/>
      <c r="G4" s="4"/>
      <c r="H4" s="4"/>
      <c r="I4" s="4"/>
      <c r="J4" s="4"/>
      <c r="K4" s="4"/>
      <c r="L4" s="4"/>
    </row>
    <row r="5" spans="2:12" s="6" customFormat="1" ht="15" customHeight="1">
      <c r="B5" s="61"/>
      <c r="C5" s="61"/>
      <c r="D5" s="61" t="s">
        <v>6</v>
      </c>
      <c r="E5" s="63" t="s">
        <v>7</v>
      </c>
      <c r="F5" s="59" t="s">
        <v>8</v>
      </c>
      <c r="G5" s="59" t="s">
        <v>9</v>
      </c>
      <c r="H5" s="63" t="s">
        <v>10</v>
      </c>
      <c r="I5" s="57" t="s">
        <v>3</v>
      </c>
      <c r="J5" s="59" t="s">
        <v>11</v>
      </c>
      <c r="K5" s="59" t="s">
        <v>12</v>
      </c>
      <c r="L5" s="59" t="s">
        <v>0</v>
      </c>
    </row>
    <row r="6" spans="2:12" s="6" customFormat="1" ht="15" customHeight="1">
      <c r="B6" s="62"/>
      <c r="C6" s="62"/>
      <c r="D6" s="62"/>
      <c r="E6" s="64"/>
      <c r="F6" s="58"/>
      <c r="G6" s="58"/>
      <c r="H6" s="64"/>
      <c r="I6" s="58"/>
      <c r="J6" s="58"/>
      <c r="K6" s="58"/>
      <c r="L6" s="60"/>
    </row>
    <row r="7" spans="2:12" s="8" customFormat="1" ht="9.75" customHeight="1">
      <c r="B7" s="3"/>
      <c r="C7" s="7"/>
      <c r="E7" s="9"/>
      <c r="F7" s="9"/>
      <c r="G7" s="9"/>
      <c r="H7" s="9"/>
      <c r="I7" s="9"/>
      <c r="J7" s="9"/>
      <c r="K7" s="9"/>
      <c r="L7" s="10"/>
    </row>
    <row r="8" spans="2:12" s="11" customFormat="1" ht="13.5" customHeight="1">
      <c r="B8" s="11" t="s">
        <v>13</v>
      </c>
      <c r="D8" s="12">
        <v>6390524.62</v>
      </c>
      <c r="E8" s="13">
        <v>23609297.97</v>
      </c>
      <c r="F8" s="13">
        <v>7433213.35</v>
      </c>
      <c r="G8" s="13">
        <v>150575</v>
      </c>
      <c r="H8" s="13">
        <v>12042090.75</v>
      </c>
      <c r="I8" s="13">
        <v>327619</v>
      </c>
      <c r="J8" s="13">
        <v>161740.75</v>
      </c>
      <c r="K8" s="13">
        <f>'[3]IS'!$I$15</f>
        <v>203263.6</v>
      </c>
      <c r="L8" s="13">
        <f>SUM(D8:K8)</f>
        <v>50318325.04</v>
      </c>
    </row>
    <row r="9" spans="2:12" ht="12" customHeight="1">
      <c r="B9" s="5" t="s">
        <v>14</v>
      </c>
      <c r="D9" s="14"/>
      <c r="E9" s="15"/>
      <c r="F9" s="15"/>
      <c r="G9" s="15"/>
      <c r="H9" s="15"/>
      <c r="I9" s="15"/>
      <c r="J9" s="15"/>
      <c r="K9" s="15"/>
      <c r="L9" s="15"/>
    </row>
    <row r="10" spans="2:12" ht="11.25" customHeight="1">
      <c r="B10" s="5" t="s">
        <v>15</v>
      </c>
      <c r="D10" s="14">
        <f>'[4]IS'!$I$12</f>
        <v>2569551.98</v>
      </c>
      <c r="E10" s="15">
        <v>0</v>
      </c>
      <c r="F10" s="16">
        <f>'[4]FPC'!$B$22</f>
        <v>3529706.12</v>
      </c>
      <c r="G10" s="16">
        <v>0</v>
      </c>
      <c r="H10" s="15">
        <v>0</v>
      </c>
      <c r="I10" s="15">
        <v>10738.75</v>
      </c>
      <c r="J10" s="15">
        <v>0</v>
      </c>
      <c r="K10" s="15">
        <v>0</v>
      </c>
      <c r="L10" s="15">
        <f>SUM(D10:K10)</f>
        <v>6109996.85</v>
      </c>
    </row>
    <row r="11" spans="2:12" ht="11.25" customHeight="1">
      <c r="B11" s="5" t="s">
        <v>16</v>
      </c>
      <c r="D11" s="14">
        <f>970854.5-107232</f>
        <v>863622.5</v>
      </c>
      <c r="E11" s="15">
        <v>0</v>
      </c>
      <c r="F11" s="16">
        <f>'[2]IS'!$K$20</f>
        <v>739150.96</v>
      </c>
      <c r="G11" s="16">
        <v>0</v>
      </c>
      <c r="H11" s="15">
        <v>0</v>
      </c>
      <c r="I11" s="15">
        <v>56550</v>
      </c>
      <c r="J11" s="15">
        <v>0</v>
      </c>
      <c r="K11" s="15">
        <v>0</v>
      </c>
      <c r="L11" s="15">
        <f>SUM(D11:K11)</f>
        <v>1659323.46</v>
      </c>
    </row>
    <row r="12" spans="2:12" ht="11.25" customHeight="1">
      <c r="B12" s="5" t="s">
        <v>17</v>
      </c>
      <c r="D12" s="14">
        <f>'[4]IS'!$I$18</f>
        <v>549119.55</v>
      </c>
      <c r="E12" s="15">
        <v>0</v>
      </c>
      <c r="F12" s="16">
        <f>'[4]FPC'!$C$22</f>
        <v>1485497.69</v>
      </c>
      <c r="G12" s="16">
        <v>0</v>
      </c>
      <c r="H12" s="15">
        <v>0</v>
      </c>
      <c r="I12" s="15">
        <v>124582.93</v>
      </c>
      <c r="J12" s="15">
        <v>0</v>
      </c>
      <c r="K12" s="15">
        <v>0</v>
      </c>
      <c r="L12" s="15">
        <f>SUM(D12:K12)</f>
        <v>2159200.17</v>
      </c>
    </row>
    <row r="13" spans="2:12" s="17" customFormat="1" ht="11.25" customHeight="1">
      <c r="B13" s="17" t="s">
        <v>18</v>
      </c>
      <c r="D13" s="18">
        <v>0</v>
      </c>
      <c r="E13" s="19">
        <v>22201435.58</v>
      </c>
      <c r="F13" s="20">
        <v>0</v>
      </c>
      <c r="G13" s="20">
        <v>105962</v>
      </c>
      <c r="H13" s="19">
        <v>0</v>
      </c>
      <c r="I13" s="19">
        <v>0</v>
      </c>
      <c r="J13" s="19">
        <v>0</v>
      </c>
      <c r="K13" s="19">
        <v>0</v>
      </c>
      <c r="L13" s="19">
        <f>SUM(D13:K13)</f>
        <v>22307397.58</v>
      </c>
    </row>
    <row r="14" spans="2:12" ht="11.25" customHeight="1">
      <c r="B14" s="5" t="s">
        <v>19</v>
      </c>
      <c r="D14" s="21">
        <f>SUM(D10:D13)</f>
        <v>3982294.03</v>
      </c>
      <c r="E14" s="21">
        <f>SUM(E10:E13)</f>
        <v>22201435.58</v>
      </c>
      <c r="F14" s="21">
        <f>SUM(F10:F13)</f>
        <v>5754354.77</v>
      </c>
      <c r="G14" s="21">
        <f>SUM(G10:G13)</f>
        <v>105962</v>
      </c>
      <c r="H14" s="21">
        <v>0</v>
      </c>
      <c r="I14" s="21">
        <f>SUM(I10:I13)</f>
        <v>191871.68</v>
      </c>
      <c r="J14" s="21">
        <f>SUM(J10:J13)</f>
        <v>0</v>
      </c>
      <c r="K14" s="21">
        <f>SUM(K10:K13)</f>
        <v>0</v>
      </c>
      <c r="L14" s="21">
        <f>SUM(L10:L13)</f>
        <v>32235918.06</v>
      </c>
    </row>
    <row r="15" spans="2:12" s="17" customFormat="1" ht="11.25" customHeight="1">
      <c r="B15" s="17" t="s">
        <v>20</v>
      </c>
      <c r="D15" s="18">
        <v>1522.8</v>
      </c>
      <c r="E15" s="19">
        <v>843409.12</v>
      </c>
      <c r="F15" s="20">
        <v>1099715.67</v>
      </c>
      <c r="G15" s="20">
        <v>55314</v>
      </c>
      <c r="H15" s="22">
        <f>110848+1862414</f>
        <v>1973262</v>
      </c>
      <c r="I15" s="19">
        <v>0</v>
      </c>
      <c r="J15" s="19">
        <v>0</v>
      </c>
      <c r="K15" s="19">
        <v>0</v>
      </c>
      <c r="L15" s="19">
        <f>SUM(D15:K15)</f>
        <v>3973223.59</v>
      </c>
    </row>
    <row r="16" spans="2:12" ht="11.25" customHeight="1">
      <c r="B16" s="5" t="s">
        <v>21</v>
      </c>
      <c r="D16" s="21">
        <f aca="true" t="shared" si="0" ref="D16:L16">SUM(D14:D15)</f>
        <v>3983816.83</v>
      </c>
      <c r="E16" s="21">
        <f t="shared" si="0"/>
        <v>23044844.7</v>
      </c>
      <c r="F16" s="21">
        <f t="shared" si="0"/>
        <v>6854070.44</v>
      </c>
      <c r="G16" s="21">
        <f t="shared" si="0"/>
        <v>161276</v>
      </c>
      <c r="H16" s="21">
        <f t="shared" si="0"/>
        <v>1973262</v>
      </c>
      <c r="I16" s="21">
        <f t="shared" si="0"/>
        <v>191871.68</v>
      </c>
      <c r="J16" s="21">
        <f t="shared" si="0"/>
        <v>0</v>
      </c>
      <c r="K16" s="21">
        <f t="shared" si="0"/>
        <v>0</v>
      </c>
      <c r="L16" s="21">
        <f t="shared" si="0"/>
        <v>36209141.65</v>
      </c>
    </row>
    <row r="17" spans="2:12" s="17" customFormat="1" ht="11.25" customHeight="1">
      <c r="B17" s="17" t="s">
        <v>22</v>
      </c>
      <c r="D17" s="18">
        <v>0</v>
      </c>
      <c r="E17" s="19">
        <v>762729.57</v>
      </c>
      <c r="F17" s="20">
        <v>1645280.59</v>
      </c>
      <c r="G17" s="20">
        <v>51632</v>
      </c>
      <c r="H17" s="19">
        <v>727605</v>
      </c>
      <c r="I17" s="19">
        <v>0</v>
      </c>
      <c r="J17" s="19">
        <v>0</v>
      </c>
      <c r="K17" s="19">
        <v>0</v>
      </c>
      <c r="L17" s="19">
        <f>SUM(D17:K17)</f>
        <v>3187247.16</v>
      </c>
    </row>
    <row r="18" spans="2:12" s="17" customFormat="1" ht="12" customHeight="1">
      <c r="B18" s="17" t="s">
        <v>23</v>
      </c>
      <c r="D18" s="22">
        <f aca="true" t="shared" si="1" ref="D18:L18">D16-D17</f>
        <v>3983816.83</v>
      </c>
      <c r="E18" s="22">
        <f t="shared" si="1"/>
        <v>22282115.13</v>
      </c>
      <c r="F18" s="22">
        <f t="shared" si="1"/>
        <v>5208789.85</v>
      </c>
      <c r="G18" s="22">
        <f t="shared" si="1"/>
        <v>109644</v>
      </c>
      <c r="H18" s="22">
        <f t="shared" si="1"/>
        <v>1245657</v>
      </c>
      <c r="I18" s="22">
        <f t="shared" si="1"/>
        <v>191871.68</v>
      </c>
      <c r="J18" s="22">
        <f t="shared" si="1"/>
        <v>0</v>
      </c>
      <c r="K18" s="22">
        <f t="shared" si="1"/>
        <v>0</v>
      </c>
      <c r="L18" s="22">
        <f t="shared" si="1"/>
        <v>33021894.49</v>
      </c>
    </row>
    <row r="19" spans="2:12" s="17" customFormat="1" ht="12" customHeight="1">
      <c r="B19" s="17" t="s">
        <v>24</v>
      </c>
      <c r="D19" s="22">
        <f aca="true" t="shared" si="2" ref="D19:L19">D8-D18</f>
        <v>2406707.79</v>
      </c>
      <c r="E19" s="22">
        <f t="shared" si="2"/>
        <v>1327182.84</v>
      </c>
      <c r="F19" s="22">
        <f t="shared" si="2"/>
        <v>2224423.5</v>
      </c>
      <c r="G19" s="22">
        <f t="shared" si="2"/>
        <v>40931</v>
      </c>
      <c r="H19" s="22">
        <f t="shared" si="2"/>
        <v>10796433.75</v>
      </c>
      <c r="I19" s="22">
        <f t="shared" si="2"/>
        <v>135747.32</v>
      </c>
      <c r="J19" s="22">
        <f t="shared" si="2"/>
        <v>161740.75</v>
      </c>
      <c r="K19" s="22">
        <f t="shared" si="2"/>
        <v>203263.6</v>
      </c>
      <c r="L19" s="22">
        <f t="shared" si="2"/>
        <v>17296430.55</v>
      </c>
    </row>
    <row r="20" spans="2:12" s="24" customFormat="1" ht="15" customHeight="1" hidden="1">
      <c r="B20" s="23"/>
      <c r="D20" s="14"/>
      <c r="E20" s="15"/>
      <c r="F20" s="16"/>
      <c r="G20" s="16"/>
      <c r="H20" s="15"/>
      <c r="I20" s="15"/>
      <c r="J20" s="15"/>
      <c r="K20" s="15"/>
      <c r="L20" s="15"/>
    </row>
    <row r="21" spans="2:12" ht="12" customHeight="1">
      <c r="B21" s="2" t="s">
        <v>25</v>
      </c>
      <c r="C21" s="2"/>
      <c r="D21" s="14"/>
      <c r="E21" s="15"/>
      <c r="F21" s="16"/>
      <c r="G21" s="16"/>
      <c r="H21" s="15"/>
      <c r="I21" s="15"/>
      <c r="J21" s="15"/>
      <c r="K21" s="15"/>
      <c r="L21" s="15"/>
    </row>
    <row r="22" spans="2:12" ht="10.5" customHeight="1">
      <c r="B22" s="25" t="s">
        <v>26</v>
      </c>
      <c r="C22" s="25"/>
      <c r="D22" s="14">
        <v>0</v>
      </c>
      <c r="E22" s="15">
        <f>356345+167350</f>
        <v>523695</v>
      </c>
      <c r="F22" s="16">
        <v>0</v>
      </c>
      <c r="G22" s="16">
        <v>0</v>
      </c>
      <c r="H22" s="15">
        <v>219000</v>
      </c>
      <c r="I22" s="15">
        <v>0</v>
      </c>
      <c r="J22" s="15">
        <v>169158</v>
      </c>
      <c r="K22" s="15">
        <f>'[3]IS'!$G$20</f>
        <v>320166</v>
      </c>
      <c r="L22" s="15">
        <f aca="true" t="shared" si="3" ref="L22:L40">SUM(D22:K22)</f>
        <v>1232019</v>
      </c>
    </row>
    <row r="23" spans="2:12" ht="10.5" customHeight="1">
      <c r="B23" s="25" t="s">
        <v>27</v>
      </c>
      <c r="C23" s="25"/>
      <c r="D23" s="14">
        <v>0</v>
      </c>
      <c r="E23" s="15">
        <v>0</v>
      </c>
      <c r="F23" s="16">
        <v>0</v>
      </c>
      <c r="G23" s="16">
        <v>0</v>
      </c>
      <c r="H23" s="15">
        <v>89943.14</v>
      </c>
      <c r="I23" s="15">
        <v>0</v>
      </c>
      <c r="J23" s="15">
        <v>0</v>
      </c>
      <c r="K23" s="15">
        <v>0</v>
      </c>
      <c r="L23" s="15">
        <f t="shared" si="3"/>
        <v>89943.14</v>
      </c>
    </row>
    <row r="24" spans="2:12" ht="10.5" customHeight="1">
      <c r="B24" s="25" t="s">
        <v>28</v>
      </c>
      <c r="C24" s="25"/>
      <c r="D24" s="14">
        <v>7450</v>
      </c>
      <c r="E24" s="15">
        <v>1450</v>
      </c>
      <c r="F24" s="16">
        <v>5362.5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f t="shared" si="3"/>
        <v>14262.5</v>
      </c>
    </row>
    <row r="25" spans="2:12" ht="10.5" customHeight="1">
      <c r="B25" s="25" t="s">
        <v>29</v>
      </c>
      <c r="C25" s="25"/>
      <c r="D25" s="14">
        <f>71991.46+62500</f>
        <v>134491.46</v>
      </c>
      <c r="E25" s="15">
        <f>29639.59+21875</f>
        <v>51514.59</v>
      </c>
      <c r="F25" s="16">
        <f>55240.92+45000</f>
        <v>100240.92</v>
      </c>
      <c r="G25" s="16">
        <v>0</v>
      </c>
      <c r="H25" s="15">
        <f>15000+18516.65</f>
        <v>33516.65</v>
      </c>
      <c r="I25" s="15">
        <f>4712.5+5000</f>
        <v>9712.5</v>
      </c>
      <c r="J25" s="15">
        <f>7500+8772.51+5203+5000</f>
        <v>26475.51</v>
      </c>
      <c r="K25" s="15">
        <f>'[3]IS'!$G$21+'[3]IS'!$G$22</f>
        <v>37102.02</v>
      </c>
      <c r="L25" s="15">
        <f t="shared" si="3"/>
        <v>393053.65</v>
      </c>
    </row>
    <row r="26" spans="2:12" ht="10.5" customHeight="1">
      <c r="B26" s="25" t="s">
        <v>30</v>
      </c>
      <c r="C26" s="25"/>
      <c r="D26" s="14">
        <v>261</v>
      </c>
      <c r="E26" s="15">
        <v>0</v>
      </c>
      <c r="F26" s="16">
        <v>0</v>
      </c>
      <c r="G26" s="16">
        <v>0</v>
      </c>
      <c r="H26" s="15">
        <v>0</v>
      </c>
      <c r="I26" s="15">
        <v>0</v>
      </c>
      <c r="J26" s="15">
        <v>0</v>
      </c>
      <c r="K26" s="15">
        <v>0</v>
      </c>
      <c r="L26" s="15">
        <f t="shared" si="3"/>
        <v>261</v>
      </c>
    </row>
    <row r="27" spans="2:12" s="27" customFormat="1" ht="10.5" customHeight="1">
      <c r="B27" s="26" t="s">
        <v>31</v>
      </c>
      <c r="D27" s="28">
        <f>55935</f>
        <v>55935</v>
      </c>
      <c r="E27" s="28">
        <v>18205</v>
      </c>
      <c r="F27" s="28">
        <v>35143</v>
      </c>
      <c r="G27" s="28">
        <v>0</v>
      </c>
      <c r="H27" s="28">
        <f>9900+2750</f>
        <v>12650</v>
      </c>
      <c r="I27" s="28">
        <f>3120+1300</f>
        <v>4420</v>
      </c>
      <c r="J27" s="28">
        <v>9680</v>
      </c>
      <c r="K27" s="28">
        <v>13794</v>
      </c>
      <c r="L27" s="29">
        <f t="shared" si="3"/>
        <v>149827</v>
      </c>
    </row>
    <row r="28" spans="2:12" ht="10.5" customHeight="1">
      <c r="B28" s="25" t="s">
        <v>32</v>
      </c>
      <c r="C28" s="25"/>
      <c r="D28" s="14">
        <v>15133.18</v>
      </c>
      <c r="E28" s="15">
        <f>1535.84+63055.63</f>
        <v>64591.47</v>
      </c>
      <c r="F28" s="16">
        <v>4606.35</v>
      </c>
      <c r="G28" s="16">
        <v>0</v>
      </c>
      <c r="H28" s="15">
        <v>6600</v>
      </c>
      <c r="I28" s="15">
        <v>0</v>
      </c>
      <c r="J28" s="15">
        <v>2111</v>
      </c>
      <c r="K28" s="15">
        <v>0</v>
      </c>
      <c r="L28" s="15">
        <f t="shared" si="3"/>
        <v>93042</v>
      </c>
    </row>
    <row r="29" spans="2:12" ht="10.5" customHeight="1">
      <c r="B29" s="25" t="s">
        <v>33</v>
      </c>
      <c r="C29" s="25"/>
      <c r="D29" s="14">
        <v>2156.36</v>
      </c>
      <c r="E29" s="15">
        <v>23500</v>
      </c>
      <c r="F29" s="16">
        <v>9213</v>
      </c>
      <c r="G29" s="16">
        <v>0</v>
      </c>
      <c r="H29" s="15">
        <v>0</v>
      </c>
      <c r="I29" s="15">
        <v>0</v>
      </c>
      <c r="J29" s="15">
        <v>939.08</v>
      </c>
      <c r="K29" s="15">
        <f>'[3]IS'!$G$25</f>
        <v>13451</v>
      </c>
      <c r="L29" s="15">
        <f t="shared" si="3"/>
        <v>49259.44</v>
      </c>
    </row>
    <row r="30" spans="2:12" ht="10.5" customHeight="1">
      <c r="B30" s="25" t="s">
        <v>34</v>
      </c>
      <c r="C30" s="25"/>
      <c r="D30" s="14">
        <v>0</v>
      </c>
      <c r="E30" s="15">
        <v>0</v>
      </c>
      <c r="F30" s="16">
        <v>0</v>
      </c>
      <c r="G30" s="16">
        <v>0</v>
      </c>
      <c r="H30" s="30">
        <v>6898022.05</v>
      </c>
      <c r="I30" s="15">
        <v>0</v>
      </c>
      <c r="J30" s="15">
        <v>92065.25</v>
      </c>
      <c r="K30" s="15">
        <f>'[3]IS'!$G$24</f>
        <v>235034</v>
      </c>
      <c r="L30" s="15">
        <f t="shared" si="3"/>
        <v>7225121.3</v>
      </c>
    </row>
    <row r="31" spans="2:12" ht="10.5" customHeight="1" hidden="1">
      <c r="B31" s="25" t="s">
        <v>35</v>
      </c>
      <c r="C31" s="25"/>
      <c r="D31" s="14">
        <f>'[1]2010 FPC'!AT28</f>
        <v>0</v>
      </c>
      <c r="E31" s="15">
        <f>'[1]2010 FPC'!AI28</f>
        <v>0</v>
      </c>
      <c r="F31" s="16">
        <f>'[1]2010 FPC'!M28</f>
        <v>0</v>
      </c>
      <c r="G31" s="16">
        <v>0</v>
      </c>
      <c r="H31" s="15">
        <v>0</v>
      </c>
      <c r="I31" s="15">
        <v>0</v>
      </c>
      <c r="J31" s="15">
        <v>0</v>
      </c>
      <c r="K31" s="15">
        <f>'[1]2010 FPC'!BE28</f>
        <v>0</v>
      </c>
      <c r="L31" s="15">
        <f t="shared" si="3"/>
        <v>0</v>
      </c>
    </row>
    <row r="32" spans="2:12" ht="10.5" customHeight="1">
      <c r="B32" s="25" t="s">
        <v>36</v>
      </c>
      <c r="C32" s="25"/>
      <c r="D32" s="14">
        <v>562.5</v>
      </c>
      <c r="E32" s="15">
        <v>0</v>
      </c>
      <c r="F32" s="16">
        <v>1125</v>
      </c>
      <c r="G32" s="16">
        <v>562.5</v>
      </c>
      <c r="H32" s="15">
        <v>0</v>
      </c>
      <c r="I32" s="15">
        <v>0</v>
      </c>
      <c r="J32" s="15">
        <v>0</v>
      </c>
      <c r="K32" s="15">
        <v>0</v>
      </c>
      <c r="L32" s="15">
        <f t="shared" si="3"/>
        <v>2250</v>
      </c>
    </row>
    <row r="33" spans="2:12" ht="10.5" customHeight="1" hidden="1">
      <c r="B33" s="25" t="s">
        <v>37</v>
      </c>
      <c r="C33" s="25"/>
      <c r="D33" s="14">
        <f>'[1]2010 FPC'!AT30</f>
        <v>0</v>
      </c>
      <c r="E33" s="15">
        <f>'[1]2010 FPC'!AI30</f>
        <v>0</v>
      </c>
      <c r="F33" s="16">
        <f>'[1]2010 FPC'!M30</f>
        <v>0</v>
      </c>
      <c r="G33" s="16">
        <v>0</v>
      </c>
      <c r="H33" s="15">
        <v>0</v>
      </c>
      <c r="I33" s="15">
        <v>0</v>
      </c>
      <c r="J33" s="15">
        <v>0</v>
      </c>
      <c r="K33" s="15">
        <f>'[1]2010 FPC'!BE30</f>
        <v>0</v>
      </c>
      <c r="L33" s="15">
        <f t="shared" si="3"/>
        <v>0</v>
      </c>
    </row>
    <row r="34" spans="2:12" ht="10.5" customHeight="1">
      <c r="B34" s="25" t="s">
        <v>38</v>
      </c>
      <c r="C34" s="25"/>
      <c r="D34" s="14">
        <v>10432.36</v>
      </c>
      <c r="E34" s="15">
        <v>21808.53</v>
      </c>
      <c r="F34" s="16">
        <v>3060</v>
      </c>
      <c r="G34" s="16">
        <v>0</v>
      </c>
      <c r="H34" s="15">
        <v>7500</v>
      </c>
      <c r="I34" s="15">
        <v>0</v>
      </c>
      <c r="J34" s="15">
        <v>0</v>
      </c>
      <c r="K34" s="15">
        <v>0</v>
      </c>
      <c r="L34" s="15">
        <f t="shared" si="3"/>
        <v>42800.89</v>
      </c>
    </row>
    <row r="35" spans="2:12" ht="10.5" customHeight="1">
      <c r="B35" s="25" t="s">
        <v>39</v>
      </c>
      <c r="C35" s="25"/>
      <c r="D35" s="14">
        <v>0</v>
      </c>
      <c r="E35" s="15">
        <f>'[1]2010 FPC'!AI32</f>
        <v>0</v>
      </c>
      <c r="F35" s="16">
        <v>0</v>
      </c>
      <c r="G35" s="16">
        <v>0</v>
      </c>
      <c r="H35" s="15">
        <v>0</v>
      </c>
      <c r="I35" s="15">
        <v>0</v>
      </c>
      <c r="J35" s="15">
        <v>0</v>
      </c>
      <c r="K35" s="15">
        <f>'[1]2010 FPC'!BE32</f>
        <v>0</v>
      </c>
      <c r="L35" s="15">
        <f t="shared" si="3"/>
        <v>0</v>
      </c>
    </row>
    <row r="36" spans="2:12" ht="10.5" customHeight="1">
      <c r="B36" s="25" t="s">
        <v>40</v>
      </c>
      <c r="C36" s="25"/>
      <c r="D36" s="14">
        <v>0</v>
      </c>
      <c r="E36" s="15">
        <v>130658.04</v>
      </c>
      <c r="F36" s="16">
        <v>0</v>
      </c>
      <c r="G36" s="16">
        <v>0</v>
      </c>
      <c r="H36" s="15">
        <v>44822.17</v>
      </c>
      <c r="I36" s="15">
        <v>4862.41</v>
      </c>
      <c r="J36" s="15">
        <v>0</v>
      </c>
      <c r="K36" s="15">
        <v>0</v>
      </c>
      <c r="L36" s="15">
        <f t="shared" si="3"/>
        <v>180342.62</v>
      </c>
    </row>
    <row r="37" spans="2:12" ht="10.5" customHeight="1">
      <c r="B37" s="25" t="s">
        <v>41</v>
      </c>
      <c r="C37" s="25"/>
      <c r="D37" s="14">
        <v>0</v>
      </c>
      <c r="E37" s="15">
        <v>11944</v>
      </c>
      <c r="F37" s="16">
        <v>0</v>
      </c>
      <c r="G37" s="16">
        <v>0</v>
      </c>
      <c r="H37" s="15">
        <v>0</v>
      </c>
      <c r="I37" s="15">
        <v>0</v>
      </c>
      <c r="J37" s="15">
        <v>0</v>
      </c>
      <c r="K37" s="15">
        <v>0</v>
      </c>
      <c r="L37" s="15">
        <f t="shared" si="3"/>
        <v>11944</v>
      </c>
    </row>
    <row r="38" spans="2:12" ht="10.5" customHeight="1">
      <c r="B38" s="25" t="s">
        <v>42</v>
      </c>
      <c r="C38" s="25"/>
      <c r="D38" s="14">
        <v>48950</v>
      </c>
      <c r="E38" s="15">
        <v>5705</v>
      </c>
      <c r="F38" s="16">
        <v>500</v>
      </c>
      <c r="G38" s="16">
        <v>0</v>
      </c>
      <c r="H38" s="15">
        <v>0</v>
      </c>
      <c r="I38" s="15">
        <v>0</v>
      </c>
      <c r="J38" s="15">
        <v>0</v>
      </c>
      <c r="K38" s="15">
        <v>0</v>
      </c>
      <c r="L38" s="15">
        <f t="shared" si="3"/>
        <v>55155</v>
      </c>
    </row>
    <row r="39" spans="2:12" ht="10.5" customHeight="1">
      <c r="B39" s="25" t="s">
        <v>43</v>
      </c>
      <c r="C39" s="25"/>
      <c r="D39" s="14">
        <v>56955.29</v>
      </c>
      <c r="E39" s="15">
        <v>113438.27</v>
      </c>
      <c r="F39" s="16">
        <v>64348.515</v>
      </c>
      <c r="G39" s="16">
        <v>0</v>
      </c>
      <c r="H39" s="15">
        <v>60916.49</v>
      </c>
      <c r="I39" s="15">
        <v>69826.5</v>
      </c>
      <c r="J39" s="15">
        <v>19897.4</v>
      </c>
      <c r="K39" s="15">
        <f>'[3]IS'!$G$27</f>
        <v>1269</v>
      </c>
      <c r="L39" s="15">
        <f t="shared" si="3"/>
        <v>386651.47</v>
      </c>
    </row>
    <row r="40" spans="2:12" s="17" customFormat="1" ht="10.5" customHeight="1">
      <c r="B40" s="31" t="s">
        <v>44</v>
      </c>
      <c r="C40" s="31"/>
      <c r="D40" s="18">
        <v>9940.25</v>
      </c>
      <c r="E40" s="19">
        <v>6324.5</v>
      </c>
      <c r="F40" s="20">
        <f>43841.75+3300</f>
        <v>47141.75</v>
      </c>
      <c r="G40" s="20">
        <v>0</v>
      </c>
      <c r="H40" s="19">
        <v>0</v>
      </c>
      <c r="I40" s="19">
        <v>522</v>
      </c>
      <c r="J40" s="19">
        <v>0</v>
      </c>
      <c r="K40" s="19">
        <f>'[3]IS'!$G$29</f>
        <v>9012.5</v>
      </c>
      <c r="L40" s="19">
        <f t="shared" si="3"/>
        <v>72941</v>
      </c>
    </row>
    <row r="41" spans="2:12" s="32" customFormat="1" ht="13.5" customHeight="1">
      <c r="B41" s="32" t="s">
        <v>45</v>
      </c>
      <c r="D41" s="33">
        <f aca="true" t="shared" si="4" ref="D41:L41">SUM(D22:D40)</f>
        <v>342267.4</v>
      </c>
      <c r="E41" s="33">
        <f t="shared" si="4"/>
        <v>972834.4</v>
      </c>
      <c r="F41" s="33">
        <f t="shared" si="4"/>
        <v>270741.04</v>
      </c>
      <c r="G41" s="33">
        <f t="shared" si="4"/>
        <v>562.5</v>
      </c>
      <c r="H41" s="33">
        <f t="shared" si="4"/>
        <v>7372970.5</v>
      </c>
      <c r="I41" s="33">
        <f t="shared" si="4"/>
        <v>89343.41</v>
      </c>
      <c r="J41" s="33">
        <f t="shared" si="4"/>
        <v>320326.24</v>
      </c>
      <c r="K41" s="33">
        <f t="shared" si="4"/>
        <v>629828.52</v>
      </c>
      <c r="L41" s="33">
        <f t="shared" si="4"/>
        <v>9998874.01</v>
      </c>
    </row>
    <row r="42" spans="2:12" ht="12" customHeight="1">
      <c r="B42" s="5" t="s">
        <v>46</v>
      </c>
      <c r="D42" s="21">
        <f aca="true" t="shared" si="5" ref="D42:K42">D19-D41</f>
        <v>2064440.39</v>
      </c>
      <c r="E42" s="21">
        <f t="shared" si="5"/>
        <v>354348.44</v>
      </c>
      <c r="F42" s="21">
        <f t="shared" si="5"/>
        <v>1953682.46</v>
      </c>
      <c r="G42" s="21">
        <f t="shared" si="5"/>
        <v>40368.5</v>
      </c>
      <c r="H42" s="21">
        <f t="shared" si="5"/>
        <v>3423463.25</v>
      </c>
      <c r="I42" s="21">
        <f t="shared" si="5"/>
        <v>46403.91</v>
      </c>
      <c r="J42" s="21">
        <f t="shared" si="5"/>
        <v>-158585.49</v>
      </c>
      <c r="K42" s="21">
        <f t="shared" si="5"/>
        <v>-426564.92</v>
      </c>
      <c r="L42" s="21">
        <f>SUM(D42:K42)</f>
        <v>7297556.54</v>
      </c>
    </row>
    <row r="43" spans="2:12" ht="12" customHeight="1">
      <c r="B43" s="5" t="s">
        <v>47</v>
      </c>
      <c r="D43" s="14">
        <v>0</v>
      </c>
      <c r="E43" s="15">
        <v>0</v>
      </c>
      <c r="F43" s="16">
        <v>0</v>
      </c>
      <c r="G43" s="16">
        <v>0</v>
      </c>
      <c r="H43" s="15">
        <v>3247.3</v>
      </c>
      <c r="I43" s="15">
        <v>0</v>
      </c>
      <c r="J43" s="15">
        <v>0</v>
      </c>
      <c r="K43" s="15">
        <v>0</v>
      </c>
      <c r="L43" s="15">
        <f>SUM(D43:K43)</f>
        <v>3247.3</v>
      </c>
    </row>
    <row r="44" spans="2:12" s="32" customFormat="1" ht="12" customHeight="1">
      <c r="B44" s="32" t="s">
        <v>48</v>
      </c>
      <c r="D44" s="34">
        <f aca="true" t="shared" si="6" ref="D44:L44">SUM(D42:D43)</f>
        <v>2064440.39</v>
      </c>
      <c r="E44" s="34">
        <f t="shared" si="6"/>
        <v>354348.44</v>
      </c>
      <c r="F44" s="34">
        <f t="shared" si="6"/>
        <v>1953682.46</v>
      </c>
      <c r="G44" s="34">
        <f t="shared" si="6"/>
        <v>40368.5</v>
      </c>
      <c r="H44" s="34">
        <f t="shared" si="6"/>
        <v>3426710.55</v>
      </c>
      <c r="I44" s="34">
        <f t="shared" si="6"/>
        <v>46403.91</v>
      </c>
      <c r="J44" s="34">
        <f t="shared" si="6"/>
        <v>-158585.49</v>
      </c>
      <c r="K44" s="34">
        <f t="shared" si="6"/>
        <v>-426564.92</v>
      </c>
      <c r="L44" s="34">
        <f t="shared" si="6"/>
        <v>7300803.84</v>
      </c>
    </row>
    <row r="45" spans="2:12" ht="12" customHeight="1">
      <c r="B45" s="5" t="s">
        <v>49</v>
      </c>
      <c r="D45" s="14"/>
      <c r="E45" s="15"/>
      <c r="F45" s="16"/>
      <c r="G45" s="16"/>
      <c r="H45" s="15"/>
      <c r="I45" s="15"/>
      <c r="J45" s="15"/>
      <c r="K45" s="15"/>
      <c r="L45" s="15"/>
    </row>
    <row r="46" spans="2:14" s="39" customFormat="1" ht="10.5" customHeight="1">
      <c r="B46" s="35" t="s">
        <v>50</v>
      </c>
      <c r="C46" s="35"/>
      <c r="D46" s="36">
        <f>3689.77+2112</f>
        <v>5801.77</v>
      </c>
      <c r="E46" s="37">
        <f>12249.86+4851</f>
        <v>17100.86</v>
      </c>
      <c r="F46" s="38">
        <f>3373.25+1617</f>
        <v>4990.25</v>
      </c>
      <c r="G46" s="38">
        <f>295.74+176</f>
        <v>471.74</v>
      </c>
      <c r="H46" s="37">
        <f>16913.8+825</f>
        <v>17738.8</v>
      </c>
      <c r="I46" s="37">
        <f>777.09+440</f>
        <v>1217.09</v>
      </c>
      <c r="J46" s="37">
        <f>168.32+418</f>
        <v>586.32</v>
      </c>
      <c r="K46" s="37">
        <f>155.65+253</f>
        <v>408.65</v>
      </c>
      <c r="L46" s="37">
        <f aca="true" t="shared" si="7" ref="L46:L54">SUM(D46:K46)</f>
        <v>48315.48</v>
      </c>
      <c r="N46" s="40">
        <f>L46-37623.48</f>
        <v>10692</v>
      </c>
    </row>
    <row r="47" spans="2:12" ht="10.5" customHeight="1">
      <c r="B47" s="41" t="s">
        <v>51</v>
      </c>
      <c r="C47" s="41"/>
      <c r="D47" s="14">
        <f>92887.2+107232</f>
        <v>200119.2</v>
      </c>
      <c r="E47" s="15">
        <v>67526.4</v>
      </c>
      <c r="F47" s="16">
        <v>144489.6</v>
      </c>
      <c r="G47" s="16">
        <v>0</v>
      </c>
      <c r="H47" s="29">
        <f>214500.42+1795.52</f>
        <v>216295.94</v>
      </c>
      <c r="I47" s="15">
        <v>0</v>
      </c>
      <c r="J47" s="15">
        <v>65919</v>
      </c>
      <c r="K47" s="15">
        <f>'[3]IS'!$G$19</f>
        <v>65919</v>
      </c>
      <c r="L47" s="15">
        <f t="shared" si="7"/>
        <v>760269.14</v>
      </c>
    </row>
    <row r="48" spans="2:12" s="27" customFormat="1" ht="10.5" customHeight="1">
      <c r="B48" s="42" t="s">
        <v>52</v>
      </c>
      <c r="C48" s="42"/>
      <c r="D48" s="28">
        <f>29509.5+56431.47</f>
        <v>85940.97</v>
      </c>
      <c r="E48" s="29">
        <f>23130.24+20673.18</f>
        <v>43803.42</v>
      </c>
      <c r="F48" s="43">
        <f>38417.96</f>
        <v>38417.96</v>
      </c>
      <c r="G48" s="43">
        <v>0</v>
      </c>
      <c r="H48" s="29">
        <f>26056.52+57613.18</f>
        <v>83669.7</v>
      </c>
      <c r="I48" s="29">
        <v>0</v>
      </c>
      <c r="J48" s="29">
        <f>30532.71</f>
        <v>30532.71</v>
      </c>
      <c r="K48" s="29">
        <v>30532.71</v>
      </c>
      <c r="L48" s="29">
        <f t="shared" si="7"/>
        <v>312897.47</v>
      </c>
    </row>
    <row r="49" spans="2:14" s="27" customFormat="1" ht="10.5" customHeight="1">
      <c r="B49" s="42" t="s">
        <v>53</v>
      </c>
      <c r="C49" s="42"/>
      <c r="D49" s="28">
        <v>21322</v>
      </c>
      <c r="E49" s="29">
        <v>31983</v>
      </c>
      <c r="F49" s="43">
        <v>15991.5</v>
      </c>
      <c r="G49" s="43">
        <v>5330.5</v>
      </c>
      <c r="H49" s="29">
        <v>35824.69</v>
      </c>
      <c r="I49" s="29">
        <v>7164.94</v>
      </c>
      <c r="J49" s="29">
        <v>4776.62</v>
      </c>
      <c r="K49" s="29">
        <v>10661</v>
      </c>
      <c r="L49" s="15">
        <f t="shared" si="7"/>
        <v>133054.25</v>
      </c>
      <c r="N49" s="44">
        <f>L49-47766.25-85288</f>
        <v>0</v>
      </c>
    </row>
    <row r="50" spans="2:12" s="27" customFormat="1" ht="10.5" customHeight="1">
      <c r="B50" s="42" t="s">
        <v>42</v>
      </c>
      <c r="C50" s="42"/>
      <c r="D50" s="28">
        <v>0</v>
      </c>
      <c r="E50" s="29">
        <v>0</v>
      </c>
      <c r="F50" s="43">
        <v>0</v>
      </c>
      <c r="G50" s="43"/>
      <c r="H50" s="29">
        <f>63950+53520</f>
        <v>117470</v>
      </c>
      <c r="I50" s="29"/>
      <c r="J50" s="29"/>
      <c r="K50" s="29"/>
      <c r="L50" s="15">
        <f t="shared" si="7"/>
        <v>117470</v>
      </c>
    </row>
    <row r="51" spans="2:12" s="27" customFormat="1" ht="10.5" customHeight="1">
      <c r="B51" s="42" t="s">
        <v>54</v>
      </c>
      <c r="C51" s="42"/>
      <c r="D51" s="28">
        <f>D14*0.015</f>
        <v>59734.41</v>
      </c>
      <c r="E51" s="29">
        <v>0</v>
      </c>
      <c r="F51" s="43">
        <v>86315.32</v>
      </c>
      <c r="G51" s="43">
        <f>2262.96</f>
        <v>2262.96</v>
      </c>
      <c r="H51" s="29">
        <v>0</v>
      </c>
      <c r="I51" s="29">
        <v>0</v>
      </c>
      <c r="J51" s="43">
        <f>2262.96</f>
        <v>2262.96</v>
      </c>
      <c r="K51" s="29">
        <f>'[1]2010 FPC'!BE45</f>
        <v>0</v>
      </c>
      <c r="L51" s="29">
        <f t="shared" si="7"/>
        <v>150575.65</v>
      </c>
    </row>
    <row r="52" spans="2:12" s="27" customFormat="1" ht="10.5" customHeight="1">
      <c r="B52" s="42" t="s">
        <v>55</v>
      </c>
      <c r="C52" s="42"/>
      <c r="D52" s="28">
        <f>979*12</f>
        <v>11748</v>
      </c>
      <c r="E52" s="29">
        <f>179*12</f>
        <v>2148</v>
      </c>
      <c r="F52" s="43">
        <f>12*979</f>
        <v>11748</v>
      </c>
      <c r="G52" s="43">
        <v>0</v>
      </c>
      <c r="H52" s="29">
        <f>12*1171.5</f>
        <v>14058</v>
      </c>
      <c r="I52" s="29">
        <v>0</v>
      </c>
      <c r="J52" s="29">
        <v>2148</v>
      </c>
      <c r="K52" s="29">
        <v>2148</v>
      </c>
      <c r="L52" s="29">
        <f t="shared" si="7"/>
        <v>43998</v>
      </c>
    </row>
    <row r="53" spans="2:12" ht="10.5" customHeight="1">
      <c r="B53" s="41" t="s">
        <v>56</v>
      </c>
      <c r="C53" s="41"/>
      <c r="D53" s="14">
        <v>26760</v>
      </c>
      <c r="E53" s="29">
        <f>32400+(524.8/2*10*12)</f>
        <v>63888</v>
      </c>
      <c r="F53" s="16">
        <v>67560</v>
      </c>
      <c r="G53" s="16">
        <v>0</v>
      </c>
      <c r="H53" s="29">
        <f>3240*10*12</f>
        <v>388800</v>
      </c>
      <c r="I53" s="15">
        <v>2640</v>
      </c>
      <c r="J53" s="15">
        <v>40000</v>
      </c>
      <c r="K53" s="15">
        <v>50000</v>
      </c>
      <c r="L53" s="15">
        <f t="shared" si="7"/>
        <v>639648</v>
      </c>
    </row>
    <row r="54" spans="2:12" ht="10.5" customHeight="1" hidden="1">
      <c r="B54" s="41" t="s">
        <v>57</v>
      </c>
      <c r="C54" s="41"/>
      <c r="D54" s="14">
        <v>0</v>
      </c>
      <c r="E54" s="14">
        <v>0</v>
      </c>
      <c r="F54" s="14">
        <v>0</v>
      </c>
      <c r="G54" s="16">
        <v>0</v>
      </c>
      <c r="H54" s="29"/>
      <c r="I54" s="15">
        <v>0</v>
      </c>
      <c r="J54" s="15"/>
      <c r="K54" s="15"/>
      <c r="L54" s="15">
        <f t="shared" si="7"/>
        <v>0</v>
      </c>
    </row>
    <row r="55" spans="2:12" s="32" customFormat="1" ht="12" customHeight="1">
      <c r="B55" s="32" t="s">
        <v>2</v>
      </c>
      <c r="D55" s="33">
        <f aca="true" t="shared" si="8" ref="D55:L55">SUM(D46:D54)</f>
        <v>411426.35</v>
      </c>
      <c r="E55" s="33">
        <f t="shared" si="8"/>
        <v>226449.68</v>
      </c>
      <c r="F55" s="33">
        <f t="shared" si="8"/>
        <v>369512.63</v>
      </c>
      <c r="G55" s="33">
        <f t="shared" si="8"/>
        <v>8065.2</v>
      </c>
      <c r="H55" s="33">
        <f t="shared" si="8"/>
        <v>873857.13</v>
      </c>
      <c r="I55" s="33">
        <f t="shared" si="8"/>
        <v>11022.03</v>
      </c>
      <c r="J55" s="33">
        <f t="shared" si="8"/>
        <v>146225.61</v>
      </c>
      <c r="K55" s="33">
        <f t="shared" si="8"/>
        <v>159669.36</v>
      </c>
      <c r="L55" s="33">
        <f t="shared" si="8"/>
        <v>2206227.99</v>
      </c>
    </row>
    <row r="56" spans="2:14" s="45" customFormat="1" ht="18" customHeight="1" thickBot="1">
      <c r="B56" s="45" t="s">
        <v>58</v>
      </c>
      <c r="D56" s="46">
        <f>D42-D55</f>
        <v>1653014.04</v>
      </c>
      <c r="E56" s="46">
        <f>E42-E55</f>
        <v>127898.76</v>
      </c>
      <c r="F56" s="46">
        <f aca="true" t="shared" si="9" ref="F56:L56">F44-F55</f>
        <v>1584169.83</v>
      </c>
      <c r="G56" s="46">
        <f t="shared" si="9"/>
        <v>32303.3</v>
      </c>
      <c r="H56" s="46">
        <f t="shared" si="9"/>
        <v>2552853.42</v>
      </c>
      <c r="I56" s="46">
        <f t="shared" si="9"/>
        <v>35381.88</v>
      </c>
      <c r="J56" s="46">
        <f t="shared" si="9"/>
        <v>-304811.1</v>
      </c>
      <c r="K56" s="46">
        <f t="shared" si="9"/>
        <v>-586234.28</v>
      </c>
      <c r="L56" s="46">
        <f t="shared" si="9"/>
        <v>5094575.85</v>
      </c>
      <c r="N56" s="46"/>
    </row>
    <row r="57" spans="2:12" ht="12" customHeight="1" thickTop="1">
      <c r="B57" s="5" t="s">
        <v>59</v>
      </c>
      <c r="D57" s="47">
        <f aca="true" t="shared" si="10" ref="D57:I57">D56/D8</f>
        <v>0.2587</v>
      </c>
      <c r="E57" s="47">
        <f t="shared" si="10"/>
        <v>0.0054</v>
      </c>
      <c r="F57" s="47">
        <f t="shared" si="10"/>
        <v>0.2131</v>
      </c>
      <c r="G57" s="47">
        <f t="shared" si="10"/>
        <v>0.2145</v>
      </c>
      <c r="H57" s="47">
        <f t="shared" si="10"/>
        <v>0.212</v>
      </c>
      <c r="I57" s="47">
        <f t="shared" si="10"/>
        <v>0.108</v>
      </c>
      <c r="J57" s="47"/>
      <c r="K57" s="47"/>
      <c r="L57" s="47">
        <f>L56/L8</f>
        <v>0.1012</v>
      </c>
    </row>
    <row r="58" spans="4:12" ht="12" customHeight="1">
      <c r="D58" s="47"/>
      <c r="E58" s="47"/>
      <c r="F58" s="47"/>
      <c r="G58" s="47"/>
      <c r="H58" s="47"/>
      <c r="I58" s="47"/>
      <c r="J58" s="47"/>
      <c r="K58" s="47"/>
      <c r="L58" s="47"/>
    </row>
    <row r="59" spans="4:12" ht="7.5" customHeight="1">
      <c r="D59" s="48"/>
      <c r="E59" s="48"/>
      <c r="F59" s="48"/>
      <c r="G59" s="48"/>
      <c r="H59" s="48"/>
      <c r="I59" s="48"/>
      <c r="J59" s="48"/>
      <c r="K59" s="48"/>
      <c r="L59" s="48"/>
    </row>
    <row r="60" spans="4:12" ht="7.5" customHeight="1" hidden="1">
      <c r="D60" s="48"/>
      <c r="E60" s="48"/>
      <c r="F60" s="48"/>
      <c r="G60" s="48"/>
      <c r="H60" s="48"/>
      <c r="I60" s="48"/>
      <c r="J60" s="48"/>
      <c r="K60" s="48"/>
      <c r="L60" s="48"/>
    </row>
    <row r="61" spans="4:12" ht="12" customHeight="1">
      <c r="D61" s="48"/>
      <c r="E61" s="48"/>
      <c r="F61" s="49" t="s">
        <v>60</v>
      </c>
      <c r="G61" s="65" t="s">
        <v>61</v>
      </c>
      <c r="H61" s="65"/>
      <c r="I61" s="48"/>
      <c r="J61" s="49" t="s">
        <v>62</v>
      </c>
      <c r="K61" s="65" t="s">
        <v>63</v>
      </c>
      <c r="L61" s="65"/>
    </row>
    <row r="62" spans="4:12" ht="12" customHeight="1">
      <c r="D62" s="48"/>
      <c r="E62" s="48"/>
      <c r="F62" s="48"/>
      <c r="G62" s="56" t="s">
        <v>64</v>
      </c>
      <c r="H62" s="56"/>
      <c r="I62" s="48"/>
      <c r="J62" s="48"/>
      <c r="K62" s="56" t="s">
        <v>65</v>
      </c>
      <c r="L62" s="56"/>
    </row>
    <row r="63" spans="4:12" ht="15" customHeight="1">
      <c r="D63" s="48"/>
      <c r="E63" s="48"/>
      <c r="F63" s="48"/>
      <c r="G63" s="48"/>
      <c r="H63" s="48"/>
      <c r="I63" s="48"/>
      <c r="J63" s="48"/>
      <c r="K63" s="48"/>
      <c r="L63" s="48"/>
    </row>
    <row r="64" spans="2:12" s="23" customFormat="1" ht="12.75" customHeight="1">
      <c r="B64" s="50"/>
      <c r="C64" s="50"/>
      <c r="D64" s="47"/>
      <c r="E64" s="48"/>
      <c r="F64" s="48"/>
      <c r="G64" s="48"/>
      <c r="H64" s="48"/>
      <c r="I64" s="48"/>
      <c r="J64" s="48"/>
      <c r="K64" s="48"/>
      <c r="L64" s="48"/>
    </row>
    <row r="65" spans="4:12" ht="12.75" customHeight="1">
      <c r="D65" s="51"/>
      <c r="E65" s="29">
        <f>32400+(300/2*10*12)</f>
        <v>50400</v>
      </c>
      <c r="F65" s="52"/>
      <c r="G65" s="52"/>
      <c r="H65" s="52"/>
      <c r="I65" s="52"/>
      <c r="J65" s="52"/>
      <c r="K65" s="52"/>
      <c r="L65" s="52"/>
    </row>
    <row r="66" spans="4:12" ht="12.75" customHeight="1">
      <c r="D66" s="53"/>
      <c r="E66" s="52"/>
      <c r="F66" s="52"/>
      <c r="G66" s="52"/>
      <c r="H66" s="52"/>
      <c r="I66" s="52"/>
      <c r="J66" s="52"/>
      <c r="K66" s="52"/>
      <c r="L66" s="52"/>
    </row>
    <row r="67" spans="4:12" ht="12.75" customHeight="1">
      <c r="D67" s="53"/>
      <c r="E67" s="52"/>
      <c r="F67" s="52"/>
      <c r="G67" s="52"/>
      <c r="H67" s="52"/>
      <c r="I67" s="52"/>
      <c r="J67" s="52"/>
      <c r="K67" s="52"/>
      <c r="L67" s="52"/>
    </row>
    <row r="68" spans="2:12" ht="12.75" customHeight="1">
      <c r="B68" s="2"/>
      <c r="C68" s="2"/>
      <c r="D68" s="53"/>
      <c r="E68" s="53"/>
      <c r="F68" s="53"/>
      <c r="G68" s="53"/>
      <c r="H68" s="53"/>
      <c r="I68" s="53"/>
      <c r="J68" s="53"/>
      <c r="K68" s="53"/>
      <c r="L68" s="52"/>
    </row>
    <row r="69" spans="2:12" s="55" customFormat="1" ht="12.75" customHeight="1">
      <c r="B69" s="54"/>
      <c r="C69" s="54"/>
      <c r="D69" s="52"/>
      <c r="E69" s="52"/>
      <c r="F69" s="52"/>
      <c r="G69" s="52"/>
      <c r="H69" s="52"/>
      <c r="I69" s="52"/>
      <c r="J69" s="52"/>
      <c r="K69" s="52"/>
      <c r="L69" s="52"/>
    </row>
    <row r="70" spans="4:12" s="55" customFormat="1" ht="12.75" customHeight="1">
      <c r="D70" s="52"/>
      <c r="E70" s="52"/>
      <c r="F70" s="52"/>
      <c r="G70" s="52"/>
      <c r="H70" s="52"/>
      <c r="I70" s="52"/>
      <c r="J70" s="52"/>
      <c r="K70" s="52"/>
      <c r="L70" s="52"/>
    </row>
    <row r="71" spans="4:12" s="55" customFormat="1" ht="12.75" customHeight="1">
      <c r="D71" s="52"/>
      <c r="E71" s="52"/>
      <c r="F71" s="52"/>
      <c r="G71" s="52"/>
      <c r="H71" s="52"/>
      <c r="I71" s="52"/>
      <c r="J71" s="52"/>
      <c r="K71" s="52"/>
      <c r="L71" s="52"/>
    </row>
    <row r="72" spans="4:12" s="55" customFormat="1" ht="12.75" customHeight="1">
      <c r="D72" s="52"/>
      <c r="E72" s="52"/>
      <c r="F72" s="52"/>
      <c r="G72" s="52"/>
      <c r="H72" s="52"/>
      <c r="I72" s="52"/>
      <c r="J72" s="52"/>
      <c r="K72" s="52"/>
      <c r="L72" s="52"/>
    </row>
    <row r="73" spans="4:12" s="55" customFormat="1" ht="12.75" customHeight="1">
      <c r="D73" s="52"/>
      <c r="E73" s="52"/>
      <c r="F73" s="52"/>
      <c r="G73" s="52"/>
      <c r="H73" s="52"/>
      <c r="I73" s="52"/>
      <c r="J73" s="52"/>
      <c r="K73" s="52"/>
      <c r="L73" s="52"/>
    </row>
    <row r="74" spans="4:12" s="55" customFormat="1" ht="12.75" customHeight="1">
      <c r="D74" s="52"/>
      <c r="E74" s="52"/>
      <c r="F74" s="52"/>
      <c r="G74" s="52"/>
      <c r="H74" s="52"/>
      <c r="I74" s="52"/>
      <c r="J74" s="52"/>
      <c r="K74" s="52"/>
      <c r="L74" s="52"/>
    </row>
    <row r="75" s="55" customFormat="1" ht="12.75" customHeight="1">
      <c r="L75" s="55">
        <f>H76-3240</f>
        <v>-3240</v>
      </c>
    </row>
    <row r="76" s="55" customFormat="1" ht="12.75" customHeight="1"/>
    <row r="77" s="55" customFormat="1" ht="12.75" customHeight="1"/>
    <row r="78" s="55" customFormat="1" ht="12.75" customHeight="1"/>
    <row r="79" s="55" customFormat="1" ht="12.75" customHeight="1"/>
    <row r="80" s="55" customFormat="1" ht="12.75" customHeight="1"/>
    <row r="81" s="55" customFormat="1" ht="12.75" customHeight="1"/>
    <row r="82" s="55" customFormat="1" ht="12.75" customHeight="1"/>
    <row r="83" s="55" customFormat="1" ht="12.75" customHeight="1"/>
    <row r="84" s="55" customFormat="1" ht="12.75" customHeight="1"/>
    <row r="85" s="55" customFormat="1" ht="12.75" customHeight="1"/>
    <row r="86" s="55" customFormat="1" ht="12.75" customHeight="1"/>
  </sheetData>
  <sheetProtection/>
  <mergeCells count="15">
    <mergeCell ref="B5:B6"/>
    <mergeCell ref="G5:G6"/>
    <mergeCell ref="H5:H6"/>
    <mergeCell ref="K61:L61"/>
    <mergeCell ref="C5:C6"/>
    <mergeCell ref="D5:D6"/>
    <mergeCell ref="E5:E6"/>
    <mergeCell ref="F5:F6"/>
    <mergeCell ref="G61:H61"/>
    <mergeCell ref="G62:H62"/>
    <mergeCell ref="K62:L62"/>
    <mergeCell ref="I5:I6"/>
    <mergeCell ref="J5:J6"/>
    <mergeCell ref="K5:K6"/>
    <mergeCell ref="L5:L6"/>
  </mergeCells>
  <printOptions/>
  <pageMargins left="0.5" right="1.5" top="0.25" bottom="0.25" header="0.5" footer="0.5"/>
  <pageSetup horizontalDpi="600" verticalDpi="600" orientation="landscape" paperSize="5" scale="85" r:id="rId1"/>
  <rowBreaks count="1" manualBreakCount="1">
    <brk id="6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TabDiBaLiLi</cp:lastModifiedBy>
  <cp:lastPrinted>2011-06-22T01:15:11Z</cp:lastPrinted>
  <dcterms:created xsi:type="dcterms:W3CDTF">2008-02-27T19:47:19Z</dcterms:created>
  <dcterms:modified xsi:type="dcterms:W3CDTF">2014-02-15T07:12:30Z</dcterms:modified>
  <cp:category/>
  <cp:version/>
  <cp:contentType/>
  <cp:contentStatus/>
</cp:coreProperties>
</file>