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95" windowHeight="91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03" i="1"/>
  <c r="M103"/>
  <c r="L103"/>
  <c r="K103"/>
  <c r="J103"/>
  <c r="I103"/>
  <c r="H103"/>
  <c r="G103"/>
  <c r="F103"/>
  <c r="D103"/>
  <c r="N101"/>
  <c r="M101"/>
  <c r="L101"/>
  <c r="K101"/>
  <c r="J101"/>
  <c r="I101"/>
  <c r="H101"/>
  <c r="G101"/>
  <c r="N100"/>
  <c r="M100"/>
  <c r="L100"/>
  <c r="K100"/>
  <c r="J100"/>
  <c r="I100"/>
  <c r="H100"/>
  <c r="G100"/>
  <c r="N99"/>
  <c r="M99"/>
  <c r="L99"/>
  <c r="K99"/>
  <c r="J99"/>
  <c r="I99"/>
  <c r="H99"/>
  <c r="G99"/>
  <c r="N98"/>
  <c r="M98"/>
  <c r="L98"/>
  <c r="K98"/>
  <c r="J98"/>
  <c r="I98"/>
  <c r="H98"/>
  <c r="G98"/>
  <c r="N97"/>
  <c r="M97"/>
  <c r="L97"/>
  <c r="K97"/>
  <c r="J97"/>
  <c r="I97"/>
  <c r="H97"/>
  <c r="G97"/>
  <c r="N96"/>
  <c r="M96"/>
  <c r="L96"/>
  <c r="K96"/>
  <c r="J96"/>
  <c r="I96"/>
  <c r="H96"/>
  <c r="G96"/>
  <c r="N95"/>
  <c r="M95"/>
  <c r="L95"/>
  <c r="K95"/>
  <c r="J95"/>
  <c r="I95"/>
  <c r="H95"/>
  <c r="G95"/>
  <c r="N94"/>
  <c r="M94"/>
  <c r="L94"/>
  <c r="K94"/>
  <c r="J94"/>
  <c r="I94"/>
  <c r="H94"/>
  <c r="G94"/>
  <c r="N93"/>
  <c r="M93"/>
  <c r="L93"/>
  <c r="K93"/>
  <c r="J93"/>
  <c r="I93"/>
  <c r="H93"/>
  <c r="G93"/>
  <c r="N92"/>
  <c r="M92"/>
  <c r="L92"/>
  <c r="K92"/>
  <c r="J92"/>
  <c r="I92"/>
  <c r="H92"/>
  <c r="G92"/>
  <c r="N91"/>
  <c r="M91"/>
  <c r="L91"/>
  <c r="K91"/>
  <c r="J91"/>
  <c r="I91"/>
  <c r="H91"/>
  <c r="G91"/>
  <c r="N90"/>
  <c r="M90"/>
  <c r="L90"/>
  <c r="K90"/>
  <c r="J90"/>
  <c r="I90"/>
  <c r="H90"/>
  <c r="G90"/>
  <c r="N89"/>
  <c r="M89"/>
  <c r="L89"/>
  <c r="K89"/>
  <c r="J89"/>
  <c r="I89"/>
  <c r="H89"/>
  <c r="G89"/>
  <c r="N88"/>
  <c r="M88"/>
  <c r="L88"/>
  <c r="K88"/>
  <c r="J88"/>
  <c r="I88"/>
  <c r="H88"/>
  <c r="G88"/>
  <c r="N87"/>
  <c r="M87"/>
  <c r="L87"/>
  <c r="K87"/>
  <c r="J87"/>
  <c r="I87"/>
  <c r="H87"/>
  <c r="G87"/>
  <c r="F101"/>
  <c r="F100"/>
  <c r="F99"/>
  <c r="F98"/>
  <c r="F97"/>
  <c r="F96"/>
  <c r="F95"/>
  <c r="F94"/>
  <c r="F93"/>
  <c r="F92"/>
  <c r="F91"/>
  <c r="F90"/>
  <c r="F89"/>
  <c r="F88"/>
  <c r="F87"/>
  <c r="D101"/>
  <c r="D100"/>
  <c r="D99"/>
  <c r="D98"/>
  <c r="D97"/>
  <c r="D96"/>
  <c r="D95"/>
  <c r="D94"/>
  <c r="D93"/>
  <c r="D92"/>
  <c r="D91"/>
  <c r="D90"/>
  <c r="D89"/>
  <c r="D88"/>
  <c r="D87"/>
  <c r="N67"/>
  <c r="M67"/>
  <c r="L67"/>
  <c r="K67"/>
  <c r="J67"/>
  <c r="I67"/>
  <c r="H67"/>
  <c r="G67"/>
  <c r="F67"/>
  <c r="D65"/>
  <c r="D64"/>
  <c r="D63"/>
  <c r="D62"/>
  <c r="D61"/>
  <c r="D60"/>
  <c r="D59"/>
  <c r="D58"/>
  <c r="D57"/>
  <c r="D56"/>
  <c r="D55"/>
  <c r="D54"/>
  <c r="D53"/>
  <c r="D52"/>
  <c r="D51"/>
  <c r="D50"/>
  <c r="D28"/>
  <c r="D27"/>
  <c r="D26"/>
  <c r="D25"/>
  <c r="D24"/>
  <c r="D23"/>
  <c r="D22"/>
  <c r="D21"/>
  <c r="D20"/>
  <c r="D19"/>
  <c r="D18"/>
  <c r="D17"/>
  <c r="D16"/>
  <c r="D15"/>
  <c r="D14"/>
  <c r="N30"/>
  <c r="M30"/>
  <c r="L30"/>
  <c r="K30"/>
  <c r="J30"/>
  <c r="I30"/>
  <c r="H30"/>
  <c r="G30"/>
  <c r="F30"/>
  <c r="N64" i="2"/>
  <c r="N57"/>
  <c r="N56"/>
  <c r="N55"/>
  <c r="N51"/>
  <c r="K57"/>
  <c r="K55"/>
  <c r="J70"/>
  <c r="J59"/>
  <c r="J57"/>
  <c r="J56"/>
  <c r="J55"/>
  <c r="I70"/>
  <c r="I57"/>
  <c r="F70"/>
  <c r="F61"/>
  <c r="F57"/>
  <c r="F55"/>
  <c r="G70"/>
  <c r="G61"/>
  <c r="G57"/>
  <c r="G56"/>
  <c r="G55"/>
  <c r="H49"/>
  <c r="H48"/>
  <c r="E70"/>
  <c r="E57"/>
  <c r="E56"/>
  <c r="E55"/>
  <c r="N58" i="1"/>
  <c r="N57"/>
  <c r="N51"/>
  <c r="L61"/>
  <c r="L59"/>
  <c r="L58"/>
  <c r="L51"/>
  <c r="K61"/>
  <c r="K51"/>
  <c r="J51"/>
  <c r="G59"/>
  <c r="G58"/>
  <c r="G51"/>
  <c r="H59"/>
  <c r="H58"/>
  <c r="H51"/>
  <c r="I55"/>
  <c r="F51"/>
  <c r="N70" i="2"/>
  <c r="L55"/>
  <c r="K70"/>
  <c r="K64"/>
  <c r="K59"/>
  <c r="K56"/>
  <c r="K51"/>
  <c r="I56"/>
  <c r="I55"/>
  <c r="F59"/>
  <c r="H70"/>
  <c r="H57"/>
  <c r="H56"/>
  <c r="H51"/>
  <c r="C61" l="1"/>
  <c r="C106"/>
  <c r="C105"/>
  <c r="C103"/>
  <c r="C102"/>
  <c r="C100"/>
  <c r="C99"/>
  <c r="C97"/>
  <c r="C95"/>
  <c r="C91"/>
  <c r="C90"/>
  <c r="C89"/>
  <c r="C87"/>
  <c r="C71"/>
  <c r="C70"/>
  <c r="C69"/>
  <c r="C68"/>
  <c r="C67"/>
  <c r="C66"/>
  <c r="C65"/>
  <c r="C64"/>
  <c r="C63"/>
  <c r="C62"/>
  <c r="C60"/>
  <c r="C59"/>
  <c r="C58"/>
  <c r="C57"/>
  <c r="C56"/>
  <c r="C55"/>
  <c r="C54"/>
  <c r="C53"/>
  <c r="C52"/>
  <c r="C51"/>
  <c r="C50"/>
  <c r="C49"/>
  <c r="C48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D102" i="1"/>
  <c r="G50" i="2"/>
  <c r="J61" i="1"/>
  <c r="O77" i="3"/>
  <c r="N77"/>
  <c r="O76"/>
  <c r="N76"/>
  <c r="O75"/>
  <c r="O90" s="1"/>
  <c r="N75"/>
  <c r="N90" s="1"/>
  <c r="O62"/>
  <c r="N62"/>
  <c r="O29"/>
  <c r="N29"/>
  <c r="N107" i="2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72"/>
  <c r="N33"/>
  <c r="G66"/>
  <c r="N109" l="1"/>
  <c r="G57" i="1"/>
  <c r="H57"/>
  <c r="K72" i="2"/>
  <c r="F57" i="1"/>
  <c r="C9" i="3"/>
  <c r="C8"/>
  <c r="F26" i="1"/>
  <c r="L72" i="2"/>
  <c r="J72"/>
  <c r="H72"/>
  <c r="G72"/>
  <c r="F72"/>
  <c r="E72"/>
  <c r="I72" l="1"/>
  <c r="C72" s="1"/>
  <c r="L107" l="1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33"/>
  <c r="L109" l="1"/>
  <c r="K77" i="3" l="1"/>
  <c r="K76"/>
  <c r="K75"/>
  <c r="K62"/>
  <c r="K29"/>
  <c r="K107" i="2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33"/>
  <c r="K90" i="3" l="1"/>
  <c r="K109" i="2"/>
  <c r="G107"/>
  <c r="F92"/>
  <c r="J87"/>
  <c r="I87"/>
  <c r="H87"/>
  <c r="G87"/>
  <c r="F87"/>
  <c r="E87"/>
  <c r="J77" i="3"/>
  <c r="I77"/>
  <c r="H77"/>
  <c r="G77"/>
  <c r="F77"/>
  <c r="J76"/>
  <c r="I76"/>
  <c r="H76"/>
  <c r="G76"/>
  <c r="F76"/>
  <c r="J75"/>
  <c r="I75"/>
  <c r="H75"/>
  <c r="G75"/>
  <c r="F75"/>
  <c r="E77"/>
  <c r="E76"/>
  <c r="E75"/>
  <c r="H105" i="2"/>
  <c r="G105"/>
  <c r="F105"/>
  <c r="E105"/>
  <c r="I105"/>
  <c r="J105"/>
  <c r="J86"/>
  <c r="I86"/>
  <c r="H86"/>
  <c r="C86" s="1"/>
  <c r="G86"/>
  <c r="F86"/>
  <c r="J85"/>
  <c r="I85"/>
  <c r="H85"/>
  <c r="C85" s="1"/>
  <c r="G85"/>
  <c r="F85"/>
  <c r="E86"/>
  <c r="E85"/>
  <c r="C9"/>
  <c r="C10"/>
  <c r="C46" i="3"/>
  <c r="C45"/>
  <c r="C76" s="1"/>
  <c r="C44"/>
  <c r="C10"/>
  <c r="I62"/>
  <c r="H62"/>
  <c r="J62"/>
  <c r="F62"/>
  <c r="J29"/>
  <c r="I29"/>
  <c r="H29"/>
  <c r="G29"/>
  <c r="F29"/>
  <c r="E29"/>
  <c r="I92" i="2"/>
  <c r="F96"/>
  <c r="H107"/>
  <c r="J107"/>
  <c r="I107"/>
  <c r="F107"/>
  <c r="E107"/>
  <c r="J106"/>
  <c r="I106"/>
  <c r="H106"/>
  <c r="G106"/>
  <c r="F106"/>
  <c r="E106"/>
  <c r="J104"/>
  <c r="C104" s="1"/>
  <c r="I104"/>
  <c r="H104"/>
  <c r="G104"/>
  <c r="F104"/>
  <c r="E104"/>
  <c r="J103"/>
  <c r="I103"/>
  <c r="H103"/>
  <c r="G103"/>
  <c r="F103"/>
  <c r="E103"/>
  <c r="J102"/>
  <c r="I102"/>
  <c r="H102"/>
  <c r="G102"/>
  <c r="F102"/>
  <c r="E102"/>
  <c r="J101"/>
  <c r="I101"/>
  <c r="H101"/>
  <c r="G101"/>
  <c r="F101"/>
  <c r="E101"/>
  <c r="J100"/>
  <c r="I100"/>
  <c r="H100"/>
  <c r="G100"/>
  <c r="F100"/>
  <c r="E100"/>
  <c r="J99"/>
  <c r="I99"/>
  <c r="H99"/>
  <c r="G99"/>
  <c r="F99"/>
  <c r="E99"/>
  <c r="J98"/>
  <c r="I98"/>
  <c r="H98"/>
  <c r="F98"/>
  <c r="E98"/>
  <c r="J97"/>
  <c r="I97"/>
  <c r="H97"/>
  <c r="G97"/>
  <c r="F97"/>
  <c r="E97"/>
  <c r="J96"/>
  <c r="I96"/>
  <c r="H96"/>
  <c r="G96"/>
  <c r="E96"/>
  <c r="J95"/>
  <c r="I95"/>
  <c r="H95"/>
  <c r="G95"/>
  <c r="F95"/>
  <c r="E95"/>
  <c r="J94"/>
  <c r="I94"/>
  <c r="H94"/>
  <c r="G94"/>
  <c r="F94"/>
  <c r="E94"/>
  <c r="J93"/>
  <c r="I93"/>
  <c r="H93"/>
  <c r="G93"/>
  <c r="F93"/>
  <c r="E93"/>
  <c r="H92"/>
  <c r="G92"/>
  <c r="E92"/>
  <c r="J91"/>
  <c r="I91"/>
  <c r="H91"/>
  <c r="G91"/>
  <c r="F91"/>
  <c r="E91"/>
  <c r="J90"/>
  <c r="I90"/>
  <c r="H90"/>
  <c r="G90"/>
  <c r="F90"/>
  <c r="E90"/>
  <c r="J89"/>
  <c r="I89"/>
  <c r="H89"/>
  <c r="G89"/>
  <c r="F89"/>
  <c r="E89"/>
  <c r="J88"/>
  <c r="I88"/>
  <c r="H88"/>
  <c r="G88"/>
  <c r="F88"/>
  <c r="E88"/>
  <c r="J33"/>
  <c r="I33"/>
  <c r="H33"/>
  <c r="F33"/>
  <c r="E33"/>
  <c r="C101" l="1"/>
  <c r="C93"/>
  <c r="C88"/>
  <c r="C96"/>
  <c r="C107"/>
  <c r="C94"/>
  <c r="C62" i="3"/>
  <c r="H90"/>
  <c r="C75"/>
  <c r="C90" s="1"/>
  <c r="C77"/>
  <c r="D30" i="1"/>
  <c r="G33" i="2"/>
  <c r="C29" i="3"/>
  <c r="G90"/>
  <c r="I90"/>
  <c r="E62"/>
  <c r="G62"/>
  <c r="E90"/>
  <c r="F109" i="2"/>
  <c r="E109"/>
  <c r="I109"/>
  <c r="H109"/>
  <c r="D67" i="1"/>
  <c r="G98" i="2"/>
  <c r="C98" s="1"/>
  <c r="J92"/>
  <c r="J109" s="1"/>
  <c r="C92" l="1"/>
  <c r="C109" s="1"/>
  <c r="J90" i="3"/>
  <c r="F90"/>
  <c r="G109" i="2"/>
</calcChain>
</file>

<file path=xl/sharedStrings.xml><?xml version="1.0" encoding="utf-8"?>
<sst xmlns="http://schemas.openxmlformats.org/spreadsheetml/2006/main" count="323" uniqueCount="89">
  <si>
    <t>PERSONAL SERVICES</t>
  </si>
  <si>
    <t>ACCOUNT TITLE</t>
  </si>
  <si>
    <t>CODE</t>
  </si>
  <si>
    <t>ALLOTMENT</t>
  </si>
  <si>
    <t>TOTAL</t>
  </si>
  <si>
    <t>OBLIGATIONS</t>
  </si>
  <si>
    <t>BALANCES</t>
  </si>
  <si>
    <t>MAINTENANCE AND OTHER OPERATING EXPENSES</t>
  </si>
  <si>
    <t xml:space="preserve">              ESTRELLITA M. DACLAN</t>
  </si>
  <si>
    <t xml:space="preserve">      Supervising Administrative Officer</t>
  </si>
  <si>
    <t>Reviewed:</t>
  </si>
  <si>
    <t>Approved:</t>
  </si>
  <si>
    <t>REVOLVING FUND 163</t>
  </si>
  <si>
    <t>SLS CANTEEN</t>
  </si>
  <si>
    <t>HMEG</t>
  </si>
  <si>
    <t>ANIMAL</t>
  </si>
  <si>
    <t>HOSPITAL</t>
  </si>
  <si>
    <t>GARMENTS</t>
  </si>
  <si>
    <t>CAFETERIA</t>
  </si>
  <si>
    <t xml:space="preserve">         MARY JOY S. RAPUSO</t>
  </si>
  <si>
    <t>Volume III of Internal Operating Budget</t>
  </si>
  <si>
    <t>Benguet State University</t>
  </si>
  <si>
    <t>La Trinidad, Benguet</t>
  </si>
  <si>
    <t>revolving fund 163</t>
  </si>
  <si>
    <t>Salaries and Wages-Part Time</t>
  </si>
  <si>
    <t>Salaries</t>
  </si>
  <si>
    <t>Clothing/Uniform Allowance</t>
  </si>
  <si>
    <t>Honoraria</t>
  </si>
  <si>
    <t>Overtime and Night Pay</t>
  </si>
  <si>
    <t>Cash Gift</t>
  </si>
  <si>
    <t>Year End Bonus</t>
  </si>
  <si>
    <t>Pag-ibig Contribution</t>
  </si>
  <si>
    <t>Philhealth Contribution</t>
  </si>
  <si>
    <t>SSS Contribution</t>
  </si>
  <si>
    <t>Legal Holidays Pay</t>
  </si>
  <si>
    <t>Service Incentive Pay</t>
  </si>
  <si>
    <t>Office Supplies</t>
  </si>
  <si>
    <t>Accountable Forms Expense</t>
  </si>
  <si>
    <t>Animal/Zoological Expense</t>
  </si>
  <si>
    <t>Gasoline, Oil, Lubricants</t>
  </si>
  <si>
    <t>Agricultural Expense Supplies</t>
  </si>
  <si>
    <t>Other Supplies Expense</t>
  </si>
  <si>
    <t>Water Expense</t>
  </si>
  <si>
    <t>Electricity Expense</t>
  </si>
  <si>
    <t>Cooking Gas Expense</t>
  </si>
  <si>
    <t>Telephone Expense-Landline</t>
  </si>
  <si>
    <t>Telephone Expense-Mobile</t>
  </si>
  <si>
    <t>Cable, Satellite, Telegraph</t>
  </si>
  <si>
    <t>Advertising Expense</t>
  </si>
  <si>
    <t>Printing &amp; Binding</t>
  </si>
  <si>
    <t>Rent Expense</t>
  </si>
  <si>
    <t>Transportation &amp; Delivery Expense</t>
  </si>
  <si>
    <t>Repair and Maintenance-Building</t>
  </si>
  <si>
    <t>Repair and Maintenance-Machineries</t>
  </si>
  <si>
    <t>Fidelity Bond Premium</t>
  </si>
  <si>
    <t>Other Maintenance &amp; Oper. Expenses</t>
  </si>
  <si>
    <t>GLADIOLA</t>
  </si>
  <si>
    <t>CENTER</t>
  </si>
  <si>
    <t xml:space="preserve">    Chief Administrative Officer</t>
  </si>
  <si>
    <t xml:space="preserve">             Certified Correct:</t>
  </si>
  <si>
    <t>Travelling Expenses</t>
  </si>
  <si>
    <t>Training Expenses</t>
  </si>
  <si>
    <t>Repair and Maintenance - Motor Vehicle</t>
  </si>
  <si>
    <t>CAPITAL OUTLAY</t>
  </si>
  <si>
    <t>Office Equipment</t>
  </si>
  <si>
    <t>Furniture and Fixtures</t>
  </si>
  <si>
    <t>Machineries</t>
  </si>
  <si>
    <t>MARKETING</t>
  </si>
  <si>
    <t>Budget Office</t>
  </si>
  <si>
    <t>Finance</t>
  </si>
  <si>
    <t>Calamity Assistance</t>
  </si>
  <si>
    <t>GIFT SHOP</t>
  </si>
  <si>
    <t>SOUVENIR &amp;</t>
  </si>
  <si>
    <t>SOUVENIR</t>
  </si>
  <si>
    <t xml:space="preserve">SOUVENIR </t>
  </si>
  <si>
    <t>&amp; GIFT SHOP</t>
  </si>
  <si>
    <t xml:space="preserve">Statement of Allotment, Obligation and Balances </t>
  </si>
  <si>
    <t>Salaries &amp; Wages - Emergency</t>
  </si>
  <si>
    <t>Salaries and Wages - Emergency</t>
  </si>
  <si>
    <t xml:space="preserve">         BEN D. LADILAD</t>
  </si>
  <si>
    <t xml:space="preserve">                President</t>
  </si>
  <si>
    <t>Productivity Incentive Allowance</t>
  </si>
  <si>
    <t>Productivity Incentive Bonus</t>
  </si>
  <si>
    <t>CHET</t>
  </si>
  <si>
    <t>CANTEEN</t>
  </si>
  <si>
    <t>&amp; Gift Shop</t>
  </si>
  <si>
    <t>/veron 10/11/12</t>
  </si>
  <si>
    <t>Hazard Pay</t>
  </si>
  <si>
    <t>AS OF DECEMBER 31, 2012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</si>
</sst>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 JULIAN"/>
    </font>
    <font>
      <b/>
      <sz val="11"/>
      <color theme="1"/>
      <name val="Arial Black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 JULIAN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 JULIAN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2" borderId="0" applyNumberFormat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0" applyNumberFormat="1"/>
    <xf numFmtId="0" fontId="10" fillId="0" borderId="10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0" borderId="8" xfId="0" applyFont="1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/>
    <xf numFmtId="0" fontId="14" fillId="0" borderId="0" xfId="0" applyFont="1"/>
    <xf numFmtId="0" fontId="10" fillId="0" borderId="0" xfId="0" applyFont="1"/>
    <xf numFmtId="43" fontId="10" fillId="0" borderId="0" xfId="0" applyNumberFormat="1" applyFont="1"/>
    <xf numFmtId="0" fontId="13" fillId="0" borderId="10" xfId="0" applyFont="1" applyBorder="1"/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43" fontId="13" fillId="0" borderId="1" xfId="0" applyNumberFormat="1" applyFont="1" applyBorder="1"/>
    <xf numFmtId="43" fontId="13" fillId="0" borderId="11" xfId="0" applyNumberFormat="1" applyFont="1" applyBorder="1"/>
    <xf numFmtId="43" fontId="13" fillId="0" borderId="11" xfId="0" applyNumberFormat="1" applyFont="1" applyBorder="1" applyAlignment="1">
      <alignment horizontal="center"/>
    </xf>
    <xf numFmtId="0" fontId="13" fillId="0" borderId="5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6" fillId="0" borderId="5" xfId="0" applyFont="1" applyBorder="1"/>
    <xf numFmtId="0" fontId="16" fillId="0" borderId="1" xfId="0" applyFont="1" applyBorder="1"/>
    <xf numFmtId="43" fontId="16" fillId="0" borderId="1" xfId="1" applyFont="1" applyBorder="1"/>
    <xf numFmtId="43" fontId="16" fillId="0" borderId="6" xfId="1" applyFont="1" applyBorder="1"/>
    <xf numFmtId="0" fontId="13" fillId="0" borderId="7" xfId="0" applyFont="1" applyBorder="1"/>
    <xf numFmtId="0" fontId="13" fillId="0" borderId="8" xfId="0" applyFont="1" applyBorder="1"/>
    <xf numFmtId="43" fontId="13" fillId="0" borderId="8" xfId="0" applyNumberFormat="1" applyFont="1" applyBorder="1"/>
    <xf numFmtId="43" fontId="13" fillId="0" borderId="8" xfId="1" applyFont="1" applyBorder="1"/>
    <xf numFmtId="43" fontId="13" fillId="0" borderId="9" xfId="1" applyFont="1" applyBorder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43" fontId="13" fillId="0" borderId="11" xfId="1" applyFont="1" applyBorder="1" applyAlignment="1">
      <alignment horizontal="center"/>
    </xf>
    <xf numFmtId="43" fontId="13" fillId="0" borderId="1" xfId="1" applyFont="1" applyBorder="1"/>
    <xf numFmtId="0" fontId="16" fillId="0" borderId="10" xfId="0" applyFont="1" applyBorder="1"/>
    <xf numFmtId="43" fontId="13" fillId="0" borderId="6" xfId="1" applyFont="1" applyBorder="1"/>
    <xf numFmtId="0" fontId="16" fillId="0" borderId="14" xfId="0" applyFont="1" applyFill="1" applyBorder="1"/>
    <xf numFmtId="0" fontId="16" fillId="0" borderId="0" xfId="0" applyFont="1" applyBorder="1"/>
    <xf numFmtId="0" fontId="5" fillId="0" borderId="19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43" fontId="16" fillId="0" borderId="11" xfId="1" applyFont="1" applyBorder="1"/>
    <xf numFmtId="0" fontId="0" fillId="0" borderId="12" xfId="0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/>
    <xf numFmtId="43" fontId="13" fillId="0" borderId="21" xfId="0" applyNumberFormat="1" applyFont="1" applyBorder="1"/>
    <xf numFmtId="43" fontId="13" fillId="0" borderId="21" xfId="1" applyFont="1" applyBorder="1"/>
    <xf numFmtId="43" fontId="13" fillId="0" borderId="22" xfId="1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3" xfId="0" applyFont="1" applyBorder="1"/>
    <xf numFmtId="0" fontId="10" fillId="0" borderId="23" xfId="0" applyFont="1" applyBorder="1" applyAlignment="1">
      <alignment horizontal="center"/>
    </xf>
    <xf numFmtId="43" fontId="13" fillId="0" borderId="25" xfId="1" applyFont="1" applyBorder="1"/>
    <xf numFmtId="43" fontId="13" fillId="0" borderId="24" xfId="1" applyFont="1" applyBorder="1"/>
    <xf numFmtId="0" fontId="10" fillId="0" borderId="27" xfId="0" applyFont="1" applyBorder="1"/>
    <xf numFmtId="43" fontId="10" fillId="0" borderId="27" xfId="0" applyNumberFormat="1" applyFont="1" applyBorder="1"/>
    <xf numFmtId="43" fontId="10" fillId="0" borderId="27" xfId="1" applyFont="1" applyBorder="1"/>
    <xf numFmtId="0" fontId="13" fillId="0" borderId="29" xfId="0" applyFont="1" applyBorder="1"/>
    <xf numFmtId="0" fontId="13" fillId="0" borderId="30" xfId="0" applyFont="1" applyBorder="1"/>
    <xf numFmtId="43" fontId="13" fillId="0" borderId="30" xfId="0" applyNumberFormat="1" applyFont="1" applyBorder="1"/>
    <xf numFmtId="43" fontId="13" fillId="0" borderId="30" xfId="1" applyFont="1" applyBorder="1"/>
    <xf numFmtId="43" fontId="13" fillId="0" borderId="31" xfId="1" applyFont="1" applyBorder="1"/>
    <xf numFmtId="0" fontId="15" fillId="0" borderId="0" xfId="0" applyFont="1" applyBorder="1"/>
    <xf numFmtId="0" fontId="0" fillId="0" borderId="28" xfId="0" applyBorder="1"/>
    <xf numFmtId="0" fontId="0" fillId="0" borderId="17" xfId="0" applyBorder="1"/>
    <xf numFmtId="43" fontId="17" fillId="0" borderId="0" xfId="0" applyNumberFormat="1" applyFont="1"/>
    <xf numFmtId="0" fontId="2" fillId="0" borderId="12" xfId="0" applyFont="1" applyBorder="1" applyAlignment="1">
      <alignment horizontal="center"/>
    </xf>
    <xf numFmtId="43" fontId="6" fillId="0" borderId="6" xfId="1" applyFont="1" applyBorder="1"/>
    <xf numFmtId="0" fontId="6" fillId="0" borderId="12" xfId="0" applyFont="1" applyBorder="1" applyAlignment="1">
      <alignment horizontal="center"/>
    </xf>
    <xf numFmtId="43" fontId="10" fillId="0" borderId="6" xfId="1" applyFont="1" applyBorder="1"/>
    <xf numFmtId="43" fontId="5" fillId="0" borderId="6" xfId="1" applyFont="1" applyBorder="1"/>
    <xf numFmtId="43" fontId="13" fillId="0" borderId="11" xfId="1" applyFont="1" applyBorder="1"/>
    <xf numFmtId="43" fontId="13" fillId="0" borderId="12" xfId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26" xfId="0" applyFont="1" applyBorder="1"/>
    <xf numFmtId="0" fontId="0" fillId="0" borderId="0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43" fontId="13" fillId="0" borderId="12" xfId="1" applyFont="1" applyBorder="1" applyAlignment="1">
      <alignment horizontal="center"/>
    </xf>
    <xf numFmtId="43" fontId="16" fillId="0" borderId="12" xfId="1" applyFont="1" applyBorder="1"/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14" xfId="0" applyFont="1" applyBorder="1" applyAlignment="1"/>
    <xf numFmtId="0" fontId="0" fillId="0" borderId="1" xfId="0" applyBorder="1"/>
    <xf numFmtId="0" fontId="3" fillId="0" borderId="0" xfId="0" applyFont="1" applyAlignment="1">
      <alignment horizontal="center"/>
    </xf>
    <xf numFmtId="0" fontId="17" fillId="0" borderId="0" xfId="0" applyFont="1"/>
    <xf numFmtId="43" fontId="13" fillId="0" borderId="33" xfId="1" applyFont="1" applyBorder="1"/>
    <xf numFmtId="43" fontId="13" fillId="0" borderId="35" xfId="1" applyFont="1" applyBorder="1"/>
    <xf numFmtId="0" fontId="0" fillId="0" borderId="27" xfId="0" applyBorder="1"/>
    <xf numFmtId="0" fontId="0" fillId="0" borderId="13" xfId="0" applyBorder="1"/>
    <xf numFmtId="0" fontId="19" fillId="2" borderId="3" xfId="2" applyBorder="1" applyAlignment="1">
      <alignment horizontal="center"/>
    </xf>
    <xf numFmtId="0" fontId="19" fillId="2" borderId="33" xfId="2" applyBorder="1" applyAlignment="1">
      <alignment horizontal="center"/>
    </xf>
    <xf numFmtId="0" fontId="19" fillId="2" borderId="7" xfId="2" applyBorder="1"/>
    <xf numFmtId="0" fontId="19" fillId="2" borderId="8" xfId="2" applyBorder="1"/>
    <xf numFmtId="0" fontId="19" fillId="2" borderId="8" xfId="2" applyBorder="1" applyAlignment="1">
      <alignment horizontal="center"/>
    </xf>
    <xf numFmtId="0" fontId="19" fillId="2" borderId="24" xfId="2" applyBorder="1" applyAlignment="1">
      <alignment horizontal="center"/>
    </xf>
    <xf numFmtId="0" fontId="19" fillId="2" borderId="34" xfId="2" applyBorder="1" applyAlignment="1">
      <alignment horizontal="center"/>
    </xf>
    <xf numFmtId="0" fontId="19" fillId="2" borderId="4" xfId="2" applyBorder="1" applyAlignment="1">
      <alignment horizontal="center"/>
    </xf>
    <xf numFmtId="0" fontId="19" fillId="2" borderId="9" xfId="2" applyBorder="1" applyAlignment="1">
      <alignment horizontal="center"/>
    </xf>
    <xf numFmtId="0" fontId="19" fillId="2" borderId="2" xfId="2" applyBorder="1" applyAlignment="1">
      <alignment horizontal="center"/>
    </xf>
    <xf numFmtId="0" fontId="19" fillId="2" borderId="0" xfId="2"/>
    <xf numFmtId="43" fontId="19" fillId="2" borderId="8" xfId="2" applyNumberFormat="1" applyBorder="1"/>
    <xf numFmtId="0" fontId="19" fillId="2" borderId="5" xfId="2" applyBorder="1"/>
    <xf numFmtId="0" fontId="19" fillId="2" borderId="1" xfId="2" applyBorder="1"/>
    <xf numFmtId="0" fontId="19" fillId="2" borderId="1" xfId="2" applyBorder="1" applyAlignment="1">
      <alignment horizontal="center"/>
    </xf>
    <xf numFmtId="0" fontId="19" fillId="2" borderId="6" xfId="2" applyBorder="1" applyAlignment="1">
      <alignment horizontal="center"/>
    </xf>
    <xf numFmtId="0" fontId="19" fillId="2" borderId="27" xfId="2" applyBorder="1"/>
    <xf numFmtId="0" fontId="19" fillId="2" borderId="13" xfId="2" applyBorder="1"/>
    <xf numFmtId="0" fontId="19" fillId="2" borderId="28" xfId="2" applyBorder="1" applyAlignment="1">
      <alignment horizontal="center"/>
    </xf>
    <xf numFmtId="0" fontId="19" fillId="2" borderId="17" xfId="2" applyBorder="1" applyAlignment="1">
      <alignment horizontal="center"/>
    </xf>
    <xf numFmtId="0" fontId="0" fillId="0" borderId="30" xfId="0" applyBorder="1"/>
    <xf numFmtId="0" fontId="19" fillId="2" borderId="26" xfId="2" applyBorder="1"/>
    <xf numFmtId="0" fontId="19" fillId="2" borderId="27" xfId="2" applyBorder="1" applyAlignment="1">
      <alignment horizontal="center"/>
    </xf>
    <xf numFmtId="0" fontId="19" fillId="2" borderId="16" xfId="2" applyBorder="1"/>
    <xf numFmtId="0" fontId="19" fillId="2" borderId="13" xfId="2" applyBorder="1" applyAlignment="1">
      <alignment horizontal="center"/>
    </xf>
    <xf numFmtId="0" fontId="19" fillId="2" borderId="33" xfId="2" applyBorder="1"/>
    <xf numFmtId="0" fontId="19" fillId="2" borderId="34" xfId="2" applyBorder="1"/>
    <xf numFmtId="0" fontId="13" fillId="0" borderId="24" xfId="0" applyFont="1" applyBorder="1"/>
    <xf numFmtId="43" fontId="13" fillId="0" borderId="37" xfId="0" applyNumberFormat="1" applyFont="1" applyBorder="1"/>
    <xf numFmtId="43" fontId="13" fillId="0" borderId="38" xfId="0" applyNumberFormat="1" applyFont="1" applyBorder="1"/>
    <xf numFmtId="43" fontId="13" fillId="0" borderId="36" xfId="0" applyNumberFormat="1" applyFont="1" applyBorder="1"/>
    <xf numFmtId="43" fontId="20" fillId="0" borderId="0" xfId="0" applyNumberFormat="1" applyFont="1"/>
    <xf numFmtId="43" fontId="21" fillId="0" borderId="0" xfId="0" applyNumberFormat="1" applyFont="1"/>
    <xf numFmtId="43" fontId="16" fillId="0" borderId="30" xfId="1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22" fillId="0" borderId="0" xfId="0" applyNumberFormat="1" applyFont="1" applyAlignment="1">
      <alignment horizontal="center"/>
    </xf>
    <xf numFmtId="43" fontId="5" fillId="0" borderId="0" xfId="0" applyNumberFormat="1" applyFont="1"/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1"/>
  <sheetViews>
    <sheetView tabSelected="1" zoomScaleNormal="100" workbookViewId="0">
      <selection activeCell="D105" sqref="D105:D106"/>
    </sheetView>
  </sheetViews>
  <sheetFormatPr defaultRowHeight="15"/>
  <cols>
    <col min="1" max="1" width="30.28515625" customWidth="1"/>
    <col min="2" max="2" width="0.5703125" customWidth="1"/>
    <col min="3" max="3" width="8" customWidth="1"/>
    <col min="4" max="4" width="12.7109375" customWidth="1"/>
    <col min="5" max="5" width="0.42578125" customWidth="1"/>
    <col min="6" max="6" width="11.42578125" customWidth="1"/>
    <col min="7" max="7" width="12" customWidth="1"/>
    <col min="8" max="8" width="11.42578125" customWidth="1"/>
    <col min="9" max="9" width="11.28515625" customWidth="1"/>
    <col min="10" max="10" width="11.42578125" customWidth="1"/>
    <col min="11" max="11" width="11.5703125" customWidth="1"/>
    <col min="12" max="12" width="12.140625" customWidth="1"/>
    <col min="13" max="13" width="12.85546875" customWidth="1"/>
    <col min="14" max="14" width="12.28515625" customWidth="1"/>
  </cols>
  <sheetData>
    <row r="1" spans="1:14">
      <c r="A1" s="19" t="s">
        <v>20</v>
      </c>
    </row>
    <row r="2" spans="1:14">
      <c r="A2" s="147" t="s">
        <v>21</v>
      </c>
      <c r="B2" s="147"/>
      <c r="C2" s="147"/>
      <c r="D2" s="147"/>
      <c r="E2" s="147"/>
      <c r="F2" s="147"/>
    </row>
    <row r="3" spans="1:14">
      <c r="A3" s="148" t="s">
        <v>22</v>
      </c>
      <c r="B3" s="147"/>
      <c r="C3" s="147"/>
      <c r="D3" s="147"/>
      <c r="E3" s="147"/>
      <c r="F3" s="147"/>
    </row>
    <row r="4" spans="1:14">
      <c r="A4" s="20"/>
      <c r="B4" s="21"/>
      <c r="C4" s="21"/>
      <c r="D4" s="21"/>
      <c r="E4" s="21"/>
      <c r="F4" s="21"/>
    </row>
    <row r="5" spans="1:14" ht="15.75">
      <c r="A5" s="149" t="s">
        <v>76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ht="15.75">
      <c r="A6" s="152" t="s">
        <v>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5.75">
      <c r="A7" s="152" t="s">
        <v>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5.75">
      <c r="A8" s="146" t="s">
        <v>12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s="4" customFormat="1" ht="15.75">
      <c r="A9" s="146" t="s">
        <v>88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4" ht="15.75" thickBot="1">
      <c r="A10" s="96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16"/>
      <c r="M10" s="16"/>
      <c r="N10" s="16"/>
    </row>
    <row r="11" spans="1:14">
      <c r="A11" s="133" t="s">
        <v>1</v>
      </c>
      <c r="B11" s="128"/>
      <c r="C11" s="137" t="s">
        <v>2</v>
      </c>
      <c r="D11" s="113" t="s">
        <v>4</v>
      </c>
      <c r="E11" s="134"/>
      <c r="F11" s="134" t="s">
        <v>13</v>
      </c>
      <c r="G11" s="113" t="s">
        <v>56</v>
      </c>
      <c r="H11" s="134" t="s">
        <v>14</v>
      </c>
      <c r="I11" s="113" t="s">
        <v>15</v>
      </c>
      <c r="J11" s="134" t="s">
        <v>17</v>
      </c>
      <c r="K11" s="113" t="s">
        <v>18</v>
      </c>
      <c r="L11" s="113" t="s">
        <v>67</v>
      </c>
      <c r="M11" s="113" t="s">
        <v>72</v>
      </c>
      <c r="N11" s="130" t="s">
        <v>83</v>
      </c>
    </row>
    <row r="12" spans="1:14" ht="15.75" thickBot="1">
      <c r="A12" s="135"/>
      <c r="B12" s="129"/>
      <c r="C12" s="138"/>
      <c r="D12" s="138"/>
      <c r="E12" s="129"/>
      <c r="F12" s="136"/>
      <c r="G12" s="118" t="s">
        <v>57</v>
      </c>
      <c r="H12" s="136"/>
      <c r="I12" s="118" t="s">
        <v>16</v>
      </c>
      <c r="J12" s="136"/>
      <c r="K12" s="118"/>
      <c r="L12" s="118" t="s">
        <v>57</v>
      </c>
      <c r="M12" s="118" t="s">
        <v>71</v>
      </c>
      <c r="N12" s="131" t="s">
        <v>84</v>
      </c>
    </row>
    <row r="13" spans="1:14" ht="3.75" customHeight="1" thickBot="1">
      <c r="A13" s="57"/>
      <c r="B13" s="58"/>
      <c r="C13" s="58"/>
      <c r="D13" s="58"/>
      <c r="E13" s="58"/>
      <c r="F13" s="59"/>
      <c r="G13" s="59"/>
      <c r="H13" s="59"/>
      <c r="I13" s="59"/>
      <c r="J13" s="59"/>
      <c r="K13" s="59"/>
      <c r="L13" s="59"/>
      <c r="M13" s="97"/>
      <c r="N13" s="97" t="s">
        <v>84</v>
      </c>
    </row>
    <row r="14" spans="1:14">
      <c r="A14" s="31" t="s">
        <v>24</v>
      </c>
      <c r="B14" s="32"/>
      <c r="C14" s="33">
        <v>703</v>
      </c>
      <c r="D14" s="35">
        <f>SUM(F14:N14)</f>
        <v>72000</v>
      </c>
      <c r="E14" s="35"/>
      <c r="F14" s="51"/>
      <c r="G14" s="33"/>
      <c r="H14" s="51"/>
      <c r="I14" s="33"/>
      <c r="J14" s="51">
        <v>72000</v>
      </c>
      <c r="K14" s="33"/>
      <c r="L14" s="51"/>
      <c r="M14" s="98"/>
      <c r="N14" s="98"/>
    </row>
    <row r="15" spans="1:14">
      <c r="A15" s="37" t="s">
        <v>25</v>
      </c>
      <c r="B15" s="38"/>
      <c r="C15" s="39">
        <v>706</v>
      </c>
      <c r="D15" s="35">
        <f t="shared" ref="D15:D28" si="0">SUM(F15:N15)</f>
        <v>1830603.78</v>
      </c>
      <c r="E15" s="34"/>
      <c r="F15" s="52">
        <v>101849.87</v>
      </c>
      <c r="G15" s="52">
        <v>268848</v>
      </c>
      <c r="H15" s="52">
        <v>125175.15</v>
      </c>
      <c r="I15" s="52">
        <v>19388.16</v>
      </c>
      <c r="J15" s="52">
        <v>137272.56</v>
      </c>
      <c r="K15" s="52">
        <v>507026.04</v>
      </c>
      <c r="L15" s="52">
        <v>445704</v>
      </c>
      <c r="M15" s="54">
        <v>21384</v>
      </c>
      <c r="N15" s="54">
        <v>203956</v>
      </c>
    </row>
    <row r="16" spans="1:14">
      <c r="A16" s="37" t="s">
        <v>77</v>
      </c>
      <c r="B16" s="38"/>
      <c r="C16" s="39">
        <v>707</v>
      </c>
      <c r="D16" s="35">
        <f t="shared" si="0"/>
        <v>75000</v>
      </c>
      <c r="E16" s="34"/>
      <c r="F16" s="52"/>
      <c r="G16" s="52"/>
      <c r="H16" s="52"/>
      <c r="I16" s="52"/>
      <c r="J16" s="52"/>
      <c r="K16" s="52">
        <v>60000</v>
      </c>
      <c r="L16" s="52"/>
      <c r="M16" s="54"/>
      <c r="N16" s="54">
        <v>15000</v>
      </c>
    </row>
    <row r="17" spans="1:14">
      <c r="A17" s="37" t="s">
        <v>26</v>
      </c>
      <c r="B17" s="38"/>
      <c r="C17" s="39">
        <v>715</v>
      </c>
      <c r="D17" s="35">
        <f t="shared" si="0"/>
        <v>16000</v>
      </c>
      <c r="E17" s="34"/>
      <c r="F17" s="52"/>
      <c r="G17" s="52">
        <v>4000</v>
      </c>
      <c r="H17" s="52">
        <v>4000</v>
      </c>
      <c r="I17" s="52"/>
      <c r="J17" s="52">
        <v>4000</v>
      </c>
      <c r="K17" s="52">
        <v>4000</v>
      </c>
      <c r="L17" s="52"/>
      <c r="M17" s="54"/>
      <c r="N17" s="54"/>
    </row>
    <row r="18" spans="1:14">
      <c r="A18" s="37" t="s">
        <v>27</v>
      </c>
      <c r="B18" s="38"/>
      <c r="C18" s="39">
        <v>720</v>
      </c>
      <c r="D18" s="35">
        <f t="shared" si="0"/>
        <v>0</v>
      </c>
      <c r="E18" s="34"/>
      <c r="F18" s="52"/>
      <c r="G18" s="52"/>
      <c r="H18" s="52"/>
      <c r="I18" s="52"/>
      <c r="J18" s="52"/>
      <c r="K18" s="52"/>
      <c r="L18" s="52"/>
      <c r="M18" s="54"/>
      <c r="N18" s="54"/>
    </row>
    <row r="19" spans="1:14">
      <c r="A19" s="37" t="s">
        <v>87</v>
      </c>
      <c r="B19" s="38">
        <v>721</v>
      </c>
      <c r="C19" s="39"/>
      <c r="D19" s="35">
        <f t="shared" si="0"/>
        <v>0</v>
      </c>
      <c r="E19" s="34"/>
      <c r="F19" s="52"/>
      <c r="G19" s="52"/>
      <c r="H19" s="52"/>
      <c r="I19" s="52"/>
      <c r="J19" s="52"/>
      <c r="K19" s="52"/>
      <c r="L19" s="52"/>
      <c r="M19" s="54"/>
      <c r="N19" s="54"/>
    </row>
    <row r="20" spans="1:14">
      <c r="A20" s="37" t="s">
        <v>81</v>
      </c>
      <c r="B20" s="38"/>
      <c r="C20" s="39">
        <v>717</v>
      </c>
      <c r="D20" s="35">
        <f t="shared" si="0"/>
        <v>12000</v>
      </c>
      <c r="E20" s="34"/>
      <c r="F20" s="34">
        <v>4000</v>
      </c>
      <c r="G20" s="52">
        <v>2000</v>
      </c>
      <c r="H20" s="52">
        <v>2000</v>
      </c>
      <c r="I20" s="52"/>
      <c r="J20" s="52">
        <v>2000</v>
      </c>
      <c r="K20" s="52">
        <v>2000</v>
      </c>
      <c r="L20" s="52"/>
      <c r="M20" s="54"/>
      <c r="N20" s="54"/>
    </row>
    <row r="21" spans="1:14">
      <c r="A21" s="37" t="s">
        <v>28</v>
      </c>
      <c r="B21" s="38"/>
      <c r="C21" s="39">
        <v>723</v>
      </c>
      <c r="D21" s="35">
        <f t="shared" si="0"/>
        <v>186094.47</v>
      </c>
      <c r="E21" s="34"/>
      <c r="F21" s="34">
        <v>70803</v>
      </c>
      <c r="G21" s="52"/>
      <c r="H21" s="52"/>
      <c r="I21" s="52"/>
      <c r="J21" s="52"/>
      <c r="K21" s="52">
        <v>60000</v>
      </c>
      <c r="L21" s="52"/>
      <c r="M21" s="54"/>
      <c r="N21" s="54">
        <v>55291.47</v>
      </c>
    </row>
    <row r="22" spans="1:14">
      <c r="A22" s="37" t="s">
        <v>29</v>
      </c>
      <c r="B22" s="38"/>
      <c r="C22" s="39">
        <v>724</v>
      </c>
      <c r="D22" s="35">
        <f t="shared" si="0"/>
        <v>92025</v>
      </c>
      <c r="E22" s="34"/>
      <c r="F22" s="34">
        <v>5975</v>
      </c>
      <c r="G22" s="52">
        <v>15625</v>
      </c>
      <c r="H22" s="52">
        <v>5625</v>
      </c>
      <c r="I22" s="52">
        <v>850</v>
      </c>
      <c r="J22" s="52">
        <v>6100</v>
      </c>
      <c r="K22" s="52">
        <v>30975</v>
      </c>
      <c r="L22" s="52">
        <v>25937.5</v>
      </c>
      <c r="M22" s="54">
        <v>937.5</v>
      </c>
      <c r="N22" s="54"/>
    </row>
    <row r="23" spans="1:14">
      <c r="A23" s="37" t="s">
        <v>30</v>
      </c>
      <c r="B23" s="38"/>
      <c r="C23" s="39">
        <v>725</v>
      </c>
      <c r="D23" s="35">
        <f t="shared" si="0"/>
        <v>145817.09</v>
      </c>
      <c r="E23" s="34"/>
      <c r="F23" s="34">
        <v>8381.25</v>
      </c>
      <c r="G23" s="52">
        <v>22404</v>
      </c>
      <c r="H23" s="52">
        <v>8260</v>
      </c>
      <c r="I23" s="52">
        <v>1615.68</v>
      </c>
      <c r="J23" s="52">
        <v>9162.8799999999992</v>
      </c>
      <c r="K23" s="52">
        <v>42069.279999999999</v>
      </c>
      <c r="L23" s="52">
        <v>37142</v>
      </c>
      <c r="M23" s="54">
        <v>1782</v>
      </c>
      <c r="N23" s="54">
        <v>15000</v>
      </c>
    </row>
    <row r="24" spans="1:14">
      <c r="A24" s="37" t="s">
        <v>31</v>
      </c>
      <c r="B24" s="38"/>
      <c r="C24" s="39">
        <v>732</v>
      </c>
      <c r="D24" s="35">
        <f t="shared" si="0"/>
        <v>23286</v>
      </c>
      <c r="E24" s="34"/>
      <c r="F24" s="34">
        <v>1434</v>
      </c>
      <c r="G24" s="52">
        <v>3750</v>
      </c>
      <c r="H24" s="52">
        <v>1350</v>
      </c>
      <c r="I24" s="52">
        <v>204</v>
      </c>
      <c r="J24" s="52">
        <v>1464</v>
      </c>
      <c r="K24" s="52">
        <v>6234</v>
      </c>
      <c r="L24" s="52">
        <v>8625</v>
      </c>
      <c r="M24" s="54">
        <v>225</v>
      </c>
      <c r="N24" s="54"/>
    </row>
    <row r="25" spans="1:14">
      <c r="A25" s="37" t="s">
        <v>32</v>
      </c>
      <c r="B25" s="38"/>
      <c r="C25" s="39">
        <v>733</v>
      </c>
      <c r="D25" s="35">
        <f t="shared" si="0"/>
        <v>16686</v>
      </c>
      <c r="E25" s="34"/>
      <c r="F25" s="34">
        <v>1134</v>
      </c>
      <c r="G25" s="52">
        <v>1950</v>
      </c>
      <c r="H25" s="52">
        <v>1050</v>
      </c>
      <c r="I25" s="52">
        <v>204</v>
      </c>
      <c r="J25" s="52">
        <v>1164</v>
      </c>
      <c r="K25" s="52">
        <v>6234</v>
      </c>
      <c r="L25" s="52">
        <v>4725</v>
      </c>
      <c r="M25" s="54">
        <v>225</v>
      </c>
      <c r="N25" s="54"/>
    </row>
    <row r="26" spans="1:14">
      <c r="A26" s="37" t="s">
        <v>33</v>
      </c>
      <c r="B26" s="38"/>
      <c r="C26" s="39">
        <v>749</v>
      </c>
      <c r="D26" s="35">
        <f t="shared" si="0"/>
        <v>0</v>
      </c>
      <c r="E26" s="34"/>
      <c r="F26" s="34">
        <f t="shared" ref="F26" si="1">SUM(H26:N26)</f>
        <v>0</v>
      </c>
      <c r="G26" s="52"/>
      <c r="H26" s="52"/>
      <c r="I26" s="52"/>
      <c r="J26" s="52"/>
      <c r="K26" s="52"/>
      <c r="L26" s="52"/>
      <c r="M26" s="54"/>
      <c r="N26" s="54"/>
    </row>
    <row r="27" spans="1:14">
      <c r="A27" s="37" t="s">
        <v>70</v>
      </c>
      <c r="B27" s="38"/>
      <c r="C27" s="39">
        <v>749</v>
      </c>
      <c r="D27" s="35">
        <f t="shared" si="0"/>
        <v>0</v>
      </c>
      <c r="E27" s="34"/>
      <c r="F27" s="34"/>
      <c r="G27" s="52"/>
      <c r="H27" s="52"/>
      <c r="I27" s="52"/>
      <c r="J27" s="52"/>
      <c r="K27" s="52"/>
      <c r="L27" s="52"/>
      <c r="M27" s="54"/>
      <c r="N27" s="54"/>
    </row>
    <row r="28" spans="1:14">
      <c r="A28" s="37" t="s">
        <v>34</v>
      </c>
      <c r="B28" s="38"/>
      <c r="C28" s="39">
        <v>749</v>
      </c>
      <c r="D28" s="35">
        <f t="shared" si="0"/>
        <v>408213.62</v>
      </c>
      <c r="E28" s="34"/>
      <c r="F28" s="34">
        <v>12410.88</v>
      </c>
      <c r="G28" s="52">
        <v>79500</v>
      </c>
      <c r="H28" s="52">
        <v>63408</v>
      </c>
      <c r="I28" s="52">
        <v>85000</v>
      </c>
      <c r="J28" s="52">
        <v>42898.8</v>
      </c>
      <c r="K28" s="52">
        <v>70308.52</v>
      </c>
      <c r="L28" s="52"/>
      <c r="M28" s="54">
        <v>2887.42</v>
      </c>
      <c r="N28" s="54">
        <v>51800</v>
      </c>
    </row>
    <row r="29" spans="1:14" ht="2.25" customHeight="1">
      <c r="A29" s="53"/>
      <c r="B29" s="49"/>
      <c r="C29" s="49"/>
      <c r="D29" s="49"/>
      <c r="E29" s="49"/>
      <c r="F29" s="60"/>
      <c r="G29" s="60"/>
      <c r="H29" s="60"/>
      <c r="I29" s="60"/>
      <c r="J29" s="60"/>
      <c r="K29" s="60"/>
      <c r="L29" s="60"/>
      <c r="M29" s="99"/>
      <c r="N29" s="99"/>
    </row>
    <row r="30" spans="1:14" ht="15.75" thickBot="1">
      <c r="A30" s="44" t="s">
        <v>4</v>
      </c>
      <c r="B30" s="45"/>
      <c r="C30" s="45"/>
      <c r="D30" s="46">
        <f>SUM(F30:N30)</f>
        <v>2877725.96</v>
      </c>
      <c r="E30" s="46"/>
      <c r="F30" s="47">
        <f>SUM(F14:F28)</f>
        <v>205988</v>
      </c>
      <c r="G30" s="47">
        <f t="shared" ref="G30:N30" si="2">SUM(G14:G28)</f>
        <v>398077</v>
      </c>
      <c r="H30" s="47">
        <f t="shared" si="2"/>
        <v>210868.15</v>
      </c>
      <c r="I30" s="47">
        <f t="shared" si="2"/>
        <v>107261.84</v>
      </c>
      <c r="J30" s="47">
        <f t="shared" si="2"/>
        <v>276062.24</v>
      </c>
      <c r="K30" s="47">
        <f t="shared" si="2"/>
        <v>788846.84000000008</v>
      </c>
      <c r="L30" s="47">
        <f t="shared" si="2"/>
        <v>522133.5</v>
      </c>
      <c r="M30" s="47">
        <f t="shared" si="2"/>
        <v>27440.92</v>
      </c>
      <c r="N30" s="47">
        <f t="shared" si="2"/>
        <v>341047.47</v>
      </c>
    </row>
    <row r="31" spans="1:14">
      <c r="D31" s="11"/>
      <c r="E31" s="11"/>
    </row>
    <row r="32" spans="1:14">
      <c r="D32" s="143"/>
    </row>
    <row r="33" spans="1:18">
      <c r="A33" s="160"/>
      <c r="B33" s="154"/>
      <c r="C33" s="154"/>
      <c r="D33" s="154"/>
      <c r="E33" s="154"/>
      <c r="F33" s="154"/>
      <c r="G33" s="154"/>
      <c r="H33" s="154"/>
      <c r="I33" s="154"/>
      <c r="J33" s="154"/>
      <c r="K33" s="154"/>
    </row>
    <row r="34" spans="1:18">
      <c r="A34" s="3"/>
      <c r="B34" s="3"/>
      <c r="C34" s="3"/>
      <c r="D34" s="161"/>
      <c r="E34" s="10"/>
      <c r="F34" s="3"/>
      <c r="G34" s="3"/>
      <c r="H34" s="3"/>
      <c r="I34" s="3"/>
      <c r="J34" s="3"/>
      <c r="K34" s="3"/>
    </row>
    <row r="35" spans="1:18">
      <c r="A35" s="3"/>
      <c r="B35" s="3"/>
      <c r="C35" s="3"/>
      <c r="D35" s="3"/>
      <c r="E35" s="10"/>
      <c r="F35" s="3"/>
      <c r="G35" s="3"/>
      <c r="H35" s="3"/>
      <c r="I35" s="3"/>
      <c r="J35" s="3"/>
      <c r="K35" s="3"/>
    </row>
    <row r="36" spans="1:18">
      <c r="A36" s="3"/>
      <c r="B36" s="3"/>
      <c r="C36" s="3"/>
      <c r="D36" s="161"/>
      <c r="E36" s="10"/>
      <c r="F36" s="3"/>
      <c r="G36" s="3"/>
      <c r="H36" s="3"/>
      <c r="I36" s="3"/>
      <c r="J36" s="3"/>
      <c r="K36" s="3"/>
    </row>
    <row r="37" spans="1:18">
      <c r="A37" s="3"/>
      <c r="B37" s="3"/>
      <c r="C37" s="3"/>
      <c r="D37" s="3"/>
      <c r="E37" s="10"/>
      <c r="F37" s="3"/>
      <c r="G37" s="3"/>
      <c r="H37" s="3"/>
      <c r="I37" s="3"/>
      <c r="J37" s="3"/>
      <c r="K37" s="3"/>
    </row>
    <row r="38" spans="1:18">
      <c r="A38" s="19" t="s">
        <v>20</v>
      </c>
    </row>
    <row r="39" spans="1:18">
      <c r="A39" s="147" t="s">
        <v>21</v>
      </c>
      <c r="B39" s="147"/>
      <c r="C39" s="147"/>
      <c r="D39" s="147"/>
      <c r="E39" s="147"/>
      <c r="F39" s="147"/>
    </row>
    <row r="40" spans="1:18">
      <c r="A40" s="148" t="s">
        <v>22</v>
      </c>
      <c r="B40" s="147"/>
      <c r="C40" s="147"/>
      <c r="D40" s="147"/>
      <c r="E40" s="147"/>
      <c r="F40" s="147"/>
    </row>
    <row r="41" spans="1:18">
      <c r="A41" s="20"/>
      <c r="B41" s="21"/>
      <c r="C41" s="21"/>
      <c r="D41" s="21"/>
      <c r="E41" s="21"/>
      <c r="F41" s="21"/>
    </row>
    <row r="42" spans="1:18" ht="15.75">
      <c r="A42" s="149" t="s">
        <v>76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</row>
    <row r="43" spans="1:18" ht="15.75">
      <c r="A43" s="152" t="s">
        <v>23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</row>
    <row r="44" spans="1:18">
      <c r="A44" s="153" t="s">
        <v>5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</row>
    <row r="45" spans="1:18" ht="15.75">
      <c r="A45" s="146" t="s">
        <v>88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R45" s="16"/>
    </row>
    <row r="46" spans="1:18" ht="15.75" thickBot="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1:18">
      <c r="A47" s="133" t="s">
        <v>1</v>
      </c>
      <c r="B47" s="128"/>
      <c r="C47" s="137" t="s">
        <v>2</v>
      </c>
      <c r="D47" s="113" t="s">
        <v>4</v>
      </c>
      <c r="E47" s="134"/>
      <c r="F47" s="134" t="s">
        <v>13</v>
      </c>
      <c r="G47" s="113" t="s">
        <v>56</v>
      </c>
      <c r="H47" s="134" t="s">
        <v>14</v>
      </c>
      <c r="I47" s="113" t="s">
        <v>15</v>
      </c>
      <c r="J47" s="134" t="s">
        <v>17</v>
      </c>
      <c r="K47" s="113" t="s">
        <v>18</v>
      </c>
      <c r="L47" s="113" t="s">
        <v>67</v>
      </c>
      <c r="M47" s="113" t="s">
        <v>72</v>
      </c>
      <c r="N47" s="130" t="s">
        <v>83</v>
      </c>
    </row>
    <row r="48" spans="1:18" ht="15.75" thickBot="1">
      <c r="A48" s="135"/>
      <c r="B48" s="129"/>
      <c r="C48" s="138"/>
      <c r="D48" s="138"/>
      <c r="E48" s="129"/>
      <c r="F48" s="136"/>
      <c r="G48" s="118" t="s">
        <v>57</v>
      </c>
      <c r="H48" s="136"/>
      <c r="I48" s="118" t="s">
        <v>16</v>
      </c>
      <c r="J48" s="136"/>
      <c r="K48" s="118"/>
      <c r="L48" s="118" t="s">
        <v>57</v>
      </c>
      <c r="M48" s="118" t="s">
        <v>71</v>
      </c>
      <c r="N48" s="131" t="s">
        <v>84</v>
      </c>
    </row>
    <row r="49" spans="1:14">
      <c r="A49" s="31"/>
      <c r="B49" s="32"/>
      <c r="C49" s="32"/>
      <c r="D49" s="49"/>
      <c r="E49" s="49"/>
      <c r="F49" s="50"/>
      <c r="G49" s="50"/>
      <c r="H49" s="50"/>
      <c r="I49" s="50"/>
      <c r="J49" s="50"/>
      <c r="K49" s="50"/>
      <c r="L49" s="50"/>
      <c r="M49" s="50"/>
      <c r="N49" s="132"/>
    </row>
    <row r="50" spans="1:14">
      <c r="A50" s="31" t="s">
        <v>24</v>
      </c>
      <c r="B50" s="32"/>
      <c r="C50" s="33">
        <v>703</v>
      </c>
      <c r="D50" s="34">
        <f>SUM(F50:N50)</f>
        <v>0</v>
      </c>
      <c r="E50" s="35"/>
      <c r="F50" s="51"/>
      <c r="G50" s="51"/>
      <c r="H50" s="51"/>
      <c r="I50" s="51"/>
      <c r="J50" s="51"/>
      <c r="K50" s="51"/>
      <c r="L50" s="51"/>
      <c r="M50" s="51"/>
      <c r="N50" s="105"/>
    </row>
    <row r="51" spans="1:14">
      <c r="A51" s="37" t="s">
        <v>25</v>
      </c>
      <c r="B51" s="38"/>
      <c r="C51" s="39">
        <v>706</v>
      </c>
      <c r="D51" s="34">
        <f t="shared" ref="D51:D65" si="3">SUM(F51:N51)</f>
        <v>1504913.3</v>
      </c>
      <c r="E51" s="34"/>
      <c r="F51" s="52">
        <f>4352+8400+5320+8400+196551+2800</f>
        <v>225823</v>
      </c>
      <c r="G51" s="52">
        <f>10336+13600+7072+18088+6528+7344+5168+26680+9800+10690+11760+18163+11798+11943</f>
        <v>168970</v>
      </c>
      <c r="H51" s="52">
        <f>4896+6800+3536+9248+3264+3808+3264+10264+3640+9844+3080+14050+6300+6720</f>
        <v>88714</v>
      </c>
      <c r="I51" s="52">
        <v>182693.3</v>
      </c>
      <c r="J51" s="52">
        <f>8784+16060+13248+10944+5208+6456+11952+9872+11620+11952+9848+115521+9504</f>
        <v>240969</v>
      </c>
      <c r="K51" s="52">
        <f>30288+31165+33683+10493+11750+18544+6900+11589+6000+18000+6780+12600</f>
        <v>197792</v>
      </c>
      <c r="L51" s="52">
        <f>8432+13600+14144+10336+6256+7072+21568+9310+35929+34433+26762+39688+28550</f>
        <v>256080</v>
      </c>
      <c r="M51" s="52"/>
      <c r="N51" s="52">
        <f>15088+28168+9416+32332+24908+33960</f>
        <v>143872</v>
      </c>
    </row>
    <row r="52" spans="1:14">
      <c r="A52" s="37" t="s">
        <v>77</v>
      </c>
      <c r="B52" s="38"/>
      <c r="C52" s="39">
        <v>707</v>
      </c>
      <c r="D52" s="34">
        <f t="shared" si="3"/>
        <v>0</v>
      </c>
      <c r="E52" s="34"/>
      <c r="F52" s="52"/>
      <c r="G52" s="52"/>
      <c r="H52" s="52"/>
      <c r="I52" s="52"/>
      <c r="J52" s="52"/>
      <c r="K52" s="52"/>
      <c r="L52" s="52"/>
      <c r="M52" s="52"/>
      <c r="N52" s="42"/>
    </row>
    <row r="53" spans="1:14">
      <c r="A53" s="37" t="s">
        <v>26</v>
      </c>
      <c r="B53" s="38"/>
      <c r="C53" s="39">
        <v>715</v>
      </c>
      <c r="D53" s="34">
        <f t="shared" si="3"/>
        <v>0</v>
      </c>
      <c r="E53" s="34"/>
      <c r="F53" s="52"/>
      <c r="G53" s="52"/>
      <c r="H53" s="52"/>
      <c r="I53" s="52"/>
      <c r="J53" s="52"/>
      <c r="K53" s="52"/>
      <c r="L53" s="52"/>
      <c r="M53" s="52"/>
      <c r="N53" s="42"/>
    </row>
    <row r="54" spans="1:14">
      <c r="A54" s="37" t="s">
        <v>27</v>
      </c>
      <c r="B54" s="38"/>
      <c r="C54" s="39">
        <v>720</v>
      </c>
      <c r="D54" s="34">
        <f t="shared" si="3"/>
        <v>26800</v>
      </c>
      <c r="E54" s="34"/>
      <c r="F54" s="52"/>
      <c r="G54" s="52"/>
      <c r="H54" s="52"/>
      <c r="I54" s="52">
        <v>26800</v>
      </c>
      <c r="J54" s="52"/>
      <c r="K54" s="52"/>
      <c r="L54" s="52"/>
      <c r="M54" s="52"/>
      <c r="N54" s="42"/>
    </row>
    <row r="55" spans="1:14">
      <c r="A55" s="37" t="s">
        <v>87</v>
      </c>
      <c r="B55" s="38"/>
      <c r="C55" s="39">
        <v>721</v>
      </c>
      <c r="D55" s="34">
        <f t="shared" si="3"/>
        <v>7134.5</v>
      </c>
      <c r="E55" s="34"/>
      <c r="F55" s="52"/>
      <c r="G55" s="52"/>
      <c r="H55" s="52"/>
      <c r="I55" s="52">
        <f>2358.5+4776</f>
        <v>7134.5</v>
      </c>
      <c r="J55" s="52"/>
      <c r="K55" s="52"/>
      <c r="L55" s="52"/>
      <c r="M55" s="52"/>
      <c r="N55" s="42"/>
    </row>
    <row r="56" spans="1:14">
      <c r="A56" s="37" t="s">
        <v>82</v>
      </c>
      <c r="B56" s="38"/>
      <c r="C56" s="39">
        <v>717</v>
      </c>
      <c r="D56" s="34">
        <f t="shared" si="3"/>
        <v>0</v>
      </c>
      <c r="E56" s="34"/>
      <c r="F56" s="52"/>
      <c r="G56" s="52"/>
      <c r="H56" s="52"/>
      <c r="I56" s="52"/>
      <c r="J56" s="52"/>
      <c r="K56" s="52"/>
      <c r="L56" s="52"/>
      <c r="M56" s="52"/>
      <c r="N56" s="42"/>
    </row>
    <row r="57" spans="1:14">
      <c r="A57" s="37" t="s">
        <v>28</v>
      </c>
      <c r="B57" s="38"/>
      <c r="C57" s="39">
        <v>723</v>
      </c>
      <c r="D57" s="34">
        <f t="shared" si="3"/>
        <v>66143.600000000006</v>
      </c>
      <c r="E57" s="34"/>
      <c r="F57" s="52">
        <f>8323.3</f>
        <v>8323.2999999999993</v>
      </c>
      <c r="G57" s="52">
        <f>11474.93</f>
        <v>11474.93</v>
      </c>
      <c r="H57" s="52">
        <f>5319.6</f>
        <v>5319.6</v>
      </c>
      <c r="I57" s="52"/>
      <c r="J57" s="52"/>
      <c r="K57" s="52"/>
      <c r="L57" s="52">
        <v>11125</v>
      </c>
      <c r="M57" s="52"/>
      <c r="N57" s="52">
        <f>8003.91+7937.8+2501.02+11458.04</f>
        <v>29900.77</v>
      </c>
    </row>
    <row r="58" spans="1:14">
      <c r="A58" s="37" t="s">
        <v>29</v>
      </c>
      <c r="B58" s="38"/>
      <c r="C58" s="39">
        <v>724</v>
      </c>
      <c r="D58" s="34">
        <f t="shared" si="3"/>
        <v>66458.33</v>
      </c>
      <c r="E58" s="34"/>
      <c r="F58" s="52">
        <v>2500</v>
      </c>
      <c r="G58" s="52">
        <f>5000+6458.33</f>
        <v>11458.33</v>
      </c>
      <c r="H58" s="52">
        <f>2500+2500</f>
        <v>5000</v>
      </c>
      <c r="I58" s="52"/>
      <c r="J58" s="52">
        <v>2500</v>
      </c>
      <c r="K58" s="52">
        <v>12500</v>
      </c>
      <c r="L58" s="52">
        <f>5000+15000</f>
        <v>20000</v>
      </c>
      <c r="M58" s="52"/>
      <c r="N58" s="52">
        <f>12500</f>
        <v>12500</v>
      </c>
    </row>
    <row r="59" spans="1:14">
      <c r="A59" s="37" t="s">
        <v>30</v>
      </c>
      <c r="B59" s="38"/>
      <c r="C59" s="39">
        <v>725</v>
      </c>
      <c r="D59" s="34">
        <f t="shared" si="3"/>
        <v>73601.75</v>
      </c>
      <c r="E59" s="34"/>
      <c r="F59" s="52">
        <v>2706.67</v>
      </c>
      <c r="G59" s="52">
        <f>6244.67+7834.17</f>
        <v>14078.84</v>
      </c>
      <c r="H59" s="52">
        <f>3173.33+3051.67</f>
        <v>6225</v>
      </c>
      <c r="I59" s="52"/>
      <c r="J59" s="52"/>
      <c r="K59" s="52">
        <v>11014.92</v>
      </c>
      <c r="L59" s="52">
        <f>5995.33+19708.99</f>
        <v>25704.32</v>
      </c>
      <c r="M59" s="52"/>
      <c r="N59" s="52">
        <v>13872</v>
      </c>
    </row>
    <row r="60" spans="1:14">
      <c r="A60" s="37" t="s">
        <v>31</v>
      </c>
      <c r="B60" s="38"/>
      <c r="C60" s="39">
        <v>732</v>
      </c>
      <c r="D60" s="34">
        <f t="shared" si="3"/>
        <v>0</v>
      </c>
      <c r="E60" s="34"/>
      <c r="F60" s="52"/>
      <c r="G60" s="52"/>
      <c r="H60" s="52"/>
      <c r="I60" s="52"/>
      <c r="J60" s="52"/>
      <c r="K60" s="52"/>
      <c r="L60" s="52"/>
      <c r="M60" s="52"/>
      <c r="N60" s="42"/>
    </row>
    <row r="61" spans="1:14">
      <c r="A61" s="37" t="s">
        <v>32</v>
      </c>
      <c r="B61" s="38"/>
      <c r="C61" s="39">
        <v>733</v>
      </c>
      <c r="D61" s="34">
        <f t="shared" si="3"/>
        <v>5037.5</v>
      </c>
      <c r="E61" s="34"/>
      <c r="F61" s="52"/>
      <c r="G61" s="52"/>
      <c r="H61" s="52"/>
      <c r="I61" s="52"/>
      <c r="J61" s="52">
        <f>187.5+187.5+187.5</f>
        <v>562.5</v>
      </c>
      <c r="K61" s="52">
        <f>425+425+425+425+337.5+512.5+175+175+175+175+175</f>
        <v>3425</v>
      </c>
      <c r="L61" s="52">
        <f>175+175+175+175+175+175</f>
        <v>1050</v>
      </c>
      <c r="M61" s="52"/>
      <c r="N61" s="42"/>
    </row>
    <row r="62" spans="1:14">
      <c r="A62" s="37" t="s">
        <v>33</v>
      </c>
      <c r="B62" s="38"/>
      <c r="C62" s="39">
        <v>749</v>
      </c>
      <c r="D62" s="34">
        <f t="shared" si="3"/>
        <v>0</v>
      </c>
      <c r="E62" s="34"/>
      <c r="F62" s="52"/>
      <c r="G62" s="52"/>
      <c r="H62" s="52"/>
      <c r="I62" s="52"/>
      <c r="J62" s="52"/>
      <c r="K62" s="52"/>
      <c r="L62" s="52"/>
      <c r="M62" s="52"/>
      <c r="N62" s="42"/>
    </row>
    <row r="63" spans="1:14">
      <c r="A63" s="37" t="s">
        <v>34</v>
      </c>
      <c r="B63" s="38"/>
      <c r="C63" s="39">
        <v>749</v>
      </c>
      <c r="D63" s="34">
        <f t="shared" si="3"/>
        <v>0</v>
      </c>
      <c r="E63" s="34"/>
      <c r="F63" s="52"/>
      <c r="G63" s="52"/>
      <c r="H63" s="52"/>
      <c r="I63" s="52"/>
      <c r="J63" s="52"/>
      <c r="K63" s="52"/>
      <c r="L63" s="52"/>
      <c r="M63" s="52"/>
      <c r="N63" s="42"/>
    </row>
    <row r="64" spans="1:14">
      <c r="A64" s="37" t="s">
        <v>70</v>
      </c>
      <c r="B64" s="38"/>
      <c r="C64" s="39">
        <v>749</v>
      </c>
      <c r="D64" s="34">
        <f t="shared" si="3"/>
        <v>70000</v>
      </c>
      <c r="E64" s="34"/>
      <c r="F64" s="52"/>
      <c r="G64" s="52">
        <v>15000</v>
      </c>
      <c r="H64" s="52">
        <v>10000</v>
      </c>
      <c r="I64" s="52"/>
      <c r="J64" s="52">
        <v>5000</v>
      </c>
      <c r="K64" s="52">
        <v>15000</v>
      </c>
      <c r="L64" s="52"/>
      <c r="M64" s="52"/>
      <c r="N64" s="52">
        <v>25000</v>
      </c>
    </row>
    <row r="65" spans="1:14">
      <c r="A65" s="37" t="s">
        <v>35</v>
      </c>
      <c r="B65" s="38"/>
      <c r="C65" s="39">
        <v>749</v>
      </c>
      <c r="D65" s="34">
        <f t="shared" si="3"/>
        <v>35324</v>
      </c>
      <c r="E65" s="34"/>
      <c r="F65" s="52">
        <v>1680</v>
      </c>
      <c r="G65" s="52">
        <v>9124</v>
      </c>
      <c r="H65" s="52">
        <v>4760</v>
      </c>
      <c r="I65" s="52"/>
      <c r="J65" s="52">
        <v>4760</v>
      </c>
      <c r="K65" s="52">
        <v>2500</v>
      </c>
      <c r="L65" s="52">
        <v>12500</v>
      </c>
      <c r="M65" s="52"/>
      <c r="N65" s="145"/>
    </row>
    <row r="66" spans="1:14" ht="3" customHeight="1">
      <c r="A66" s="37"/>
      <c r="B66" s="38"/>
      <c r="C66" s="38"/>
      <c r="D66" s="41"/>
      <c r="E66" s="41"/>
      <c r="F66" s="42"/>
      <c r="G66" s="42"/>
      <c r="H66" s="42"/>
      <c r="I66" s="42"/>
      <c r="J66" s="42"/>
      <c r="K66" s="42"/>
      <c r="L66" s="42"/>
      <c r="M66" s="42"/>
      <c r="N66" s="42"/>
    </row>
    <row r="67" spans="1:14" ht="15.75" thickBot="1">
      <c r="A67" s="44" t="s">
        <v>4</v>
      </c>
      <c r="B67" s="45"/>
      <c r="C67" s="45"/>
      <c r="D67" s="46">
        <f>SUM(D50:D65)</f>
        <v>1855412.9800000002</v>
      </c>
      <c r="E67" s="46"/>
      <c r="F67" s="47">
        <f>SUM(F50:F65)</f>
        <v>241032.97</v>
      </c>
      <c r="G67" s="47">
        <f t="shared" ref="G67:N67" si="4">SUM(G50:G65)</f>
        <v>230106.09999999998</v>
      </c>
      <c r="H67" s="47">
        <f t="shared" si="4"/>
        <v>120018.6</v>
      </c>
      <c r="I67" s="47">
        <f t="shared" si="4"/>
        <v>216627.8</v>
      </c>
      <c r="J67" s="47">
        <f t="shared" si="4"/>
        <v>253791.5</v>
      </c>
      <c r="K67" s="47">
        <f t="shared" si="4"/>
        <v>242231.92</v>
      </c>
      <c r="L67" s="47">
        <f t="shared" si="4"/>
        <v>326459.32</v>
      </c>
      <c r="M67" s="47">
        <f t="shared" si="4"/>
        <v>0</v>
      </c>
      <c r="N67" s="47">
        <f t="shared" si="4"/>
        <v>225144.77</v>
      </c>
    </row>
    <row r="68" spans="1:14">
      <c r="D68" s="11"/>
      <c r="E68" s="11"/>
    </row>
    <row r="69" spans="1:14">
      <c r="A69" s="8"/>
      <c r="B69" s="8"/>
      <c r="C69" s="8"/>
      <c r="D69" s="162"/>
      <c r="E69" s="8"/>
      <c r="F69" s="8"/>
      <c r="G69" s="8"/>
      <c r="H69" s="8"/>
      <c r="I69" s="8"/>
      <c r="J69" s="8"/>
      <c r="K69" s="8"/>
    </row>
    <row r="70" spans="1:14">
      <c r="A70" s="8"/>
      <c r="B70" s="8"/>
      <c r="C70" s="8"/>
      <c r="D70" s="162"/>
      <c r="E70" s="8"/>
      <c r="F70" s="8"/>
      <c r="G70" s="8"/>
      <c r="H70" s="8"/>
      <c r="I70" s="8"/>
      <c r="J70" s="8"/>
      <c r="K70" s="8"/>
    </row>
    <row r="71" spans="1:1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4">
      <c r="A76" s="19" t="s">
        <v>20</v>
      </c>
    </row>
    <row r="77" spans="1:14">
      <c r="A77" s="147" t="s">
        <v>21</v>
      </c>
      <c r="B77" s="147"/>
      <c r="C77" s="147"/>
      <c r="D77" s="147"/>
      <c r="E77" s="147"/>
      <c r="F77" s="147"/>
    </row>
    <row r="78" spans="1:14">
      <c r="A78" s="148" t="s">
        <v>22</v>
      </c>
      <c r="B78" s="147"/>
      <c r="C78" s="147"/>
      <c r="D78" s="147"/>
      <c r="E78" s="147"/>
      <c r="F78" s="147"/>
    </row>
    <row r="79" spans="1:14">
      <c r="A79" s="20"/>
      <c r="B79" s="21"/>
      <c r="C79" s="21"/>
      <c r="D79" s="21"/>
      <c r="E79" s="21"/>
      <c r="F79" s="21"/>
    </row>
    <row r="80" spans="1:14" ht="15.75">
      <c r="A80" s="149" t="s">
        <v>76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ht="18.75">
      <c r="A81" s="150" t="s">
        <v>12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ht="18.75">
      <c r="A82" s="151" t="s">
        <v>6</v>
      </c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</row>
    <row r="83" spans="1:14" ht="15.75">
      <c r="A83" s="146" t="s">
        <v>88</v>
      </c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</row>
    <row r="84" spans="1:14" ht="15.75" thickBo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4">
      <c r="A85" s="133" t="s">
        <v>1</v>
      </c>
      <c r="B85" s="128"/>
      <c r="C85" s="137" t="s">
        <v>2</v>
      </c>
      <c r="D85" s="113" t="s">
        <v>4</v>
      </c>
      <c r="E85" s="134"/>
      <c r="F85" s="134" t="s">
        <v>13</v>
      </c>
      <c r="G85" s="113" t="s">
        <v>56</v>
      </c>
      <c r="H85" s="134" t="s">
        <v>14</v>
      </c>
      <c r="I85" s="113" t="s">
        <v>15</v>
      </c>
      <c r="J85" s="134" t="s">
        <v>17</v>
      </c>
      <c r="K85" s="113" t="s">
        <v>18</v>
      </c>
      <c r="L85" s="113" t="s">
        <v>67</v>
      </c>
      <c r="M85" s="113" t="s">
        <v>72</v>
      </c>
      <c r="N85" s="130" t="s">
        <v>83</v>
      </c>
    </row>
    <row r="86" spans="1:14" ht="15.75" thickBot="1">
      <c r="A86" s="135"/>
      <c r="B86" s="129"/>
      <c r="C86" s="138"/>
      <c r="D86" s="138"/>
      <c r="E86" s="129"/>
      <c r="F86" s="136"/>
      <c r="G86" s="118" t="s">
        <v>57</v>
      </c>
      <c r="H86" s="136"/>
      <c r="I86" s="118" t="s">
        <v>16</v>
      </c>
      <c r="J86" s="136"/>
      <c r="K86" s="118"/>
      <c r="L86" s="118" t="s">
        <v>57</v>
      </c>
      <c r="M86" s="118" t="s">
        <v>71</v>
      </c>
      <c r="N86" s="131" t="s">
        <v>84</v>
      </c>
    </row>
    <row r="87" spans="1:14">
      <c r="A87" s="31" t="s">
        <v>24</v>
      </c>
      <c r="B87" s="32"/>
      <c r="C87" s="33">
        <v>703</v>
      </c>
      <c r="D87" s="34">
        <f>SUM(F87:N87)</f>
        <v>72000</v>
      </c>
      <c r="E87" s="35"/>
      <c r="F87" s="36">
        <f>+F14-F50</f>
        <v>0</v>
      </c>
      <c r="G87" s="36">
        <f t="shared" ref="G87:N87" si="5">+G14-G50</f>
        <v>0</v>
      </c>
      <c r="H87" s="36">
        <f t="shared" si="5"/>
        <v>0</v>
      </c>
      <c r="I87" s="36">
        <f t="shared" si="5"/>
        <v>0</v>
      </c>
      <c r="J87" s="36">
        <f t="shared" si="5"/>
        <v>72000</v>
      </c>
      <c r="K87" s="36">
        <f t="shared" si="5"/>
        <v>0</v>
      </c>
      <c r="L87" s="36">
        <f t="shared" si="5"/>
        <v>0</v>
      </c>
      <c r="M87" s="36">
        <f t="shared" si="5"/>
        <v>0</v>
      </c>
      <c r="N87" s="36">
        <f t="shared" si="5"/>
        <v>0</v>
      </c>
    </row>
    <row r="88" spans="1:14">
      <c r="A88" s="37" t="s">
        <v>25</v>
      </c>
      <c r="B88" s="38"/>
      <c r="C88" s="39">
        <v>706</v>
      </c>
      <c r="D88" s="34">
        <f t="shared" ref="D88:D101" si="6">SUM(F88:N88)</f>
        <v>325690.48</v>
      </c>
      <c r="E88" s="35"/>
      <c r="F88" s="36">
        <f t="shared" ref="F88:N101" si="7">+F15-F51</f>
        <v>-123973.13</v>
      </c>
      <c r="G88" s="36">
        <f t="shared" si="7"/>
        <v>99878</v>
      </c>
      <c r="H88" s="36">
        <f t="shared" si="7"/>
        <v>36461.149999999994</v>
      </c>
      <c r="I88" s="36">
        <f t="shared" si="7"/>
        <v>-163305.13999999998</v>
      </c>
      <c r="J88" s="36">
        <f t="shared" si="7"/>
        <v>-103696.44</v>
      </c>
      <c r="K88" s="36">
        <f t="shared" si="7"/>
        <v>309234.03999999998</v>
      </c>
      <c r="L88" s="36">
        <f t="shared" si="7"/>
        <v>189624</v>
      </c>
      <c r="M88" s="36">
        <f t="shared" si="7"/>
        <v>21384</v>
      </c>
      <c r="N88" s="36">
        <f t="shared" si="7"/>
        <v>60084</v>
      </c>
    </row>
    <row r="89" spans="1:14">
      <c r="A89" s="37" t="s">
        <v>78</v>
      </c>
      <c r="B89" s="38"/>
      <c r="C89" s="39">
        <v>707</v>
      </c>
      <c r="D89" s="34">
        <f t="shared" si="6"/>
        <v>75000</v>
      </c>
      <c r="E89" s="35"/>
      <c r="F89" s="36">
        <f t="shared" si="7"/>
        <v>0</v>
      </c>
      <c r="G89" s="36">
        <f t="shared" si="7"/>
        <v>0</v>
      </c>
      <c r="H89" s="36">
        <f t="shared" si="7"/>
        <v>0</v>
      </c>
      <c r="I89" s="36">
        <f t="shared" si="7"/>
        <v>0</v>
      </c>
      <c r="J89" s="36">
        <f t="shared" si="7"/>
        <v>0</v>
      </c>
      <c r="K89" s="36">
        <f t="shared" si="7"/>
        <v>60000</v>
      </c>
      <c r="L89" s="36">
        <f t="shared" si="7"/>
        <v>0</v>
      </c>
      <c r="M89" s="36">
        <f t="shared" si="7"/>
        <v>0</v>
      </c>
      <c r="N89" s="36">
        <f t="shared" si="7"/>
        <v>15000</v>
      </c>
    </row>
    <row r="90" spans="1:14">
      <c r="A90" s="37" t="s">
        <v>26</v>
      </c>
      <c r="B90" s="38"/>
      <c r="C90" s="39">
        <v>715</v>
      </c>
      <c r="D90" s="34">
        <f t="shared" si="6"/>
        <v>16000</v>
      </c>
      <c r="E90" s="35"/>
      <c r="F90" s="36">
        <f t="shared" si="7"/>
        <v>0</v>
      </c>
      <c r="G90" s="36">
        <f t="shared" si="7"/>
        <v>4000</v>
      </c>
      <c r="H90" s="36">
        <f t="shared" si="7"/>
        <v>4000</v>
      </c>
      <c r="I90" s="36">
        <f t="shared" si="7"/>
        <v>0</v>
      </c>
      <c r="J90" s="36">
        <f t="shared" si="7"/>
        <v>4000</v>
      </c>
      <c r="K90" s="36">
        <f t="shared" si="7"/>
        <v>4000</v>
      </c>
      <c r="L90" s="36">
        <f t="shared" si="7"/>
        <v>0</v>
      </c>
      <c r="M90" s="36">
        <f t="shared" si="7"/>
        <v>0</v>
      </c>
      <c r="N90" s="36">
        <f t="shared" si="7"/>
        <v>0</v>
      </c>
    </row>
    <row r="91" spans="1:14">
      <c r="A91" s="37" t="s">
        <v>27</v>
      </c>
      <c r="B91" s="38"/>
      <c r="C91" s="39">
        <v>720</v>
      </c>
      <c r="D91" s="34">
        <f t="shared" si="6"/>
        <v>-26800</v>
      </c>
      <c r="E91" s="35"/>
      <c r="F91" s="36">
        <f t="shared" si="7"/>
        <v>0</v>
      </c>
      <c r="G91" s="36">
        <f t="shared" si="7"/>
        <v>0</v>
      </c>
      <c r="H91" s="36">
        <f t="shared" si="7"/>
        <v>0</v>
      </c>
      <c r="I91" s="36">
        <f t="shared" si="7"/>
        <v>-26800</v>
      </c>
      <c r="J91" s="36">
        <f t="shared" si="7"/>
        <v>0</v>
      </c>
      <c r="K91" s="36">
        <f t="shared" si="7"/>
        <v>0</v>
      </c>
      <c r="L91" s="36">
        <f t="shared" si="7"/>
        <v>0</v>
      </c>
      <c r="M91" s="36">
        <f t="shared" si="7"/>
        <v>0</v>
      </c>
      <c r="N91" s="36">
        <f t="shared" si="7"/>
        <v>0</v>
      </c>
    </row>
    <row r="92" spans="1:14">
      <c r="A92" s="37" t="s">
        <v>87</v>
      </c>
      <c r="B92" s="38"/>
      <c r="C92" s="39">
        <v>721</v>
      </c>
      <c r="D92" s="34">
        <f t="shared" si="6"/>
        <v>-7134.5</v>
      </c>
      <c r="E92" s="35"/>
      <c r="F92" s="36">
        <f t="shared" si="7"/>
        <v>0</v>
      </c>
      <c r="G92" s="36">
        <f t="shared" si="7"/>
        <v>0</v>
      </c>
      <c r="H92" s="36">
        <f t="shared" si="7"/>
        <v>0</v>
      </c>
      <c r="I92" s="36">
        <f t="shared" si="7"/>
        <v>-7134.5</v>
      </c>
      <c r="J92" s="36">
        <f t="shared" si="7"/>
        <v>0</v>
      </c>
      <c r="K92" s="36">
        <f t="shared" si="7"/>
        <v>0</v>
      </c>
      <c r="L92" s="36">
        <f t="shared" si="7"/>
        <v>0</v>
      </c>
      <c r="M92" s="36">
        <f t="shared" si="7"/>
        <v>0</v>
      </c>
      <c r="N92" s="36">
        <f t="shared" si="7"/>
        <v>0</v>
      </c>
    </row>
    <row r="93" spans="1:14">
      <c r="A93" s="37" t="s">
        <v>82</v>
      </c>
      <c r="B93" s="38"/>
      <c r="C93" s="39">
        <v>717</v>
      </c>
      <c r="D93" s="34">
        <f t="shared" si="6"/>
        <v>12000</v>
      </c>
      <c r="E93" s="35"/>
      <c r="F93" s="36">
        <f t="shared" si="7"/>
        <v>4000</v>
      </c>
      <c r="G93" s="36">
        <f t="shared" si="7"/>
        <v>2000</v>
      </c>
      <c r="H93" s="36">
        <f t="shared" si="7"/>
        <v>2000</v>
      </c>
      <c r="I93" s="36">
        <f t="shared" si="7"/>
        <v>0</v>
      </c>
      <c r="J93" s="36">
        <f t="shared" si="7"/>
        <v>2000</v>
      </c>
      <c r="K93" s="36">
        <f t="shared" si="7"/>
        <v>2000</v>
      </c>
      <c r="L93" s="36">
        <f t="shared" si="7"/>
        <v>0</v>
      </c>
      <c r="M93" s="36">
        <f t="shared" si="7"/>
        <v>0</v>
      </c>
      <c r="N93" s="36">
        <f t="shared" si="7"/>
        <v>0</v>
      </c>
    </row>
    <row r="94" spans="1:14">
      <c r="A94" s="37" t="s">
        <v>28</v>
      </c>
      <c r="B94" s="38"/>
      <c r="C94" s="39">
        <v>723</v>
      </c>
      <c r="D94" s="34">
        <f t="shared" si="6"/>
        <v>119950.87</v>
      </c>
      <c r="E94" s="35"/>
      <c r="F94" s="36">
        <f t="shared" si="7"/>
        <v>62479.7</v>
      </c>
      <c r="G94" s="36">
        <f t="shared" si="7"/>
        <v>-11474.93</v>
      </c>
      <c r="H94" s="36">
        <f t="shared" si="7"/>
        <v>-5319.6</v>
      </c>
      <c r="I94" s="36">
        <f t="shared" si="7"/>
        <v>0</v>
      </c>
      <c r="J94" s="36">
        <f t="shared" si="7"/>
        <v>0</v>
      </c>
      <c r="K94" s="36">
        <f t="shared" si="7"/>
        <v>60000</v>
      </c>
      <c r="L94" s="36">
        <f t="shared" si="7"/>
        <v>-11125</v>
      </c>
      <c r="M94" s="36">
        <f t="shared" si="7"/>
        <v>0</v>
      </c>
      <c r="N94" s="36">
        <f t="shared" si="7"/>
        <v>25390.7</v>
      </c>
    </row>
    <row r="95" spans="1:14">
      <c r="A95" s="37" t="s">
        <v>29</v>
      </c>
      <c r="B95" s="38"/>
      <c r="C95" s="39">
        <v>724</v>
      </c>
      <c r="D95" s="34">
        <f t="shared" si="6"/>
        <v>25566.67</v>
      </c>
      <c r="E95" s="35"/>
      <c r="F95" s="36">
        <f t="shared" si="7"/>
        <v>3475</v>
      </c>
      <c r="G95" s="36">
        <f t="shared" si="7"/>
        <v>4166.67</v>
      </c>
      <c r="H95" s="36">
        <f t="shared" si="7"/>
        <v>625</v>
      </c>
      <c r="I95" s="36">
        <f t="shared" si="7"/>
        <v>850</v>
      </c>
      <c r="J95" s="36">
        <f t="shared" si="7"/>
        <v>3600</v>
      </c>
      <c r="K95" s="36">
        <f t="shared" si="7"/>
        <v>18475</v>
      </c>
      <c r="L95" s="36">
        <f t="shared" si="7"/>
        <v>5937.5</v>
      </c>
      <c r="M95" s="36">
        <f t="shared" si="7"/>
        <v>937.5</v>
      </c>
      <c r="N95" s="36">
        <f t="shared" si="7"/>
        <v>-12500</v>
      </c>
    </row>
    <row r="96" spans="1:14">
      <c r="A96" s="37" t="s">
        <v>30</v>
      </c>
      <c r="B96" s="38"/>
      <c r="C96" s="39">
        <v>725</v>
      </c>
      <c r="D96" s="34">
        <f t="shared" si="6"/>
        <v>72215.34</v>
      </c>
      <c r="E96" s="35"/>
      <c r="F96" s="36">
        <f t="shared" si="7"/>
        <v>5674.58</v>
      </c>
      <c r="G96" s="36">
        <f t="shared" si="7"/>
        <v>8325.16</v>
      </c>
      <c r="H96" s="36">
        <f t="shared" si="7"/>
        <v>2035</v>
      </c>
      <c r="I96" s="36">
        <f t="shared" si="7"/>
        <v>1615.68</v>
      </c>
      <c r="J96" s="36">
        <f t="shared" si="7"/>
        <v>9162.8799999999992</v>
      </c>
      <c r="K96" s="36">
        <f t="shared" si="7"/>
        <v>31054.36</v>
      </c>
      <c r="L96" s="36">
        <f t="shared" si="7"/>
        <v>11437.68</v>
      </c>
      <c r="M96" s="36">
        <f t="shared" si="7"/>
        <v>1782</v>
      </c>
      <c r="N96" s="36">
        <f t="shared" si="7"/>
        <v>1128</v>
      </c>
    </row>
    <row r="97" spans="1:14">
      <c r="A97" s="37" t="s">
        <v>31</v>
      </c>
      <c r="B97" s="38"/>
      <c r="C97" s="39">
        <v>732</v>
      </c>
      <c r="D97" s="34">
        <f t="shared" si="6"/>
        <v>23286</v>
      </c>
      <c r="E97" s="35"/>
      <c r="F97" s="36">
        <f t="shared" si="7"/>
        <v>1434</v>
      </c>
      <c r="G97" s="36">
        <f t="shared" si="7"/>
        <v>3750</v>
      </c>
      <c r="H97" s="36">
        <f t="shared" si="7"/>
        <v>1350</v>
      </c>
      <c r="I97" s="36">
        <f t="shared" si="7"/>
        <v>204</v>
      </c>
      <c r="J97" s="36">
        <f t="shared" si="7"/>
        <v>1464</v>
      </c>
      <c r="K97" s="36">
        <f t="shared" si="7"/>
        <v>6234</v>
      </c>
      <c r="L97" s="36">
        <f t="shared" si="7"/>
        <v>8625</v>
      </c>
      <c r="M97" s="36">
        <f t="shared" si="7"/>
        <v>225</v>
      </c>
      <c r="N97" s="36">
        <f t="shared" si="7"/>
        <v>0</v>
      </c>
    </row>
    <row r="98" spans="1:14">
      <c r="A98" s="37" t="s">
        <v>32</v>
      </c>
      <c r="B98" s="38"/>
      <c r="C98" s="39">
        <v>733</v>
      </c>
      <c r="D98" s="34">
        <f t="shared" si="6"/>
        <v>11648.5</v>
      </c>
      <c r="E98" s="35"/>
      <c r="F98" s="36">
        <f t="shared" si="7"/>
        <v>1134</v>
      </c>
      <c r="G98" s="36">
        <f t="shared" si="7"/>
        <v>1950</v>
      </c>
      <c r="H98" s="36">
        <f t="shared" si="7"/>
        <v>1050</v>
      </c>
      <c r="I98" s="36">
        <f t="shared" si="7"/>
        <v>204</v>
      </c>
      <c r="J98" s="36">
        <f t="shared" si="7"/>
        <v>601.5</v>
      </c>
      <c r="K98" s="36">
        <f t="shared" si="7"/>
        <v>2809</v>
      </c>
      <c r="L98" s="36">
        <f t="shared" si="7"/>
        <v>3675</v>
      </c>
      <c r="M98" s="36">
        <f t="shared" si="7"/>
        <v>225</v>
      </c>
      <c r="N98" s="36">
        <f t="shared" si="7"/>
        <v>0</v>
      </c>
    </row>
    <row r="99" spans="1:14">
      <c r="A99" s="37" t="s">
        <v>33</v>
      </c>
      <c r="B99" s="38"/>
      <c r="C99" s="39">
        <v>749</v>
      </c>
      <c r="D99" s="34">
        <f t="shared" si="6"/>
        <v>0</v>
      </c>
      <c r="E99" s="35"/>
      <c r="F99" s="36">
        <f t="shared" si="7"/>
        <v>0</v>
      </c>
      <c r="G99" s="36">
        <f t="shared" si="7"/>
        <v>0</v>
      </c>
      <c r="H99" s="36">
        <f t="shared" si="7"/>
        <v>0</v>
      </c>
      <c r="I99" s="36">
        <f t="shared" si="7"/>
        <v>0</v>
      </c>
      <c r="J99" s="36">
        <f t="shared" si="7"/>
        <v>0</v>
      </c>
      <c r="K99" s="36">
        <f t="shared" si="7"/>
        <v>0</v>
      </c>
      <c r="L99" s="36">
        <f t="shared" si="7"/>
        <v>0</v>
      </c>
      <c r="M99" s="36">
        <f t="shared" si="7"/>
        <v>0</v>
      </c>
      <c r="N99" s="36">
        <f t="shared" si="7"/>
        <v>0</v>
      </c>
    </row>
    <row r="100" spans="1:14">
      <c r="A100" s="37" t="s">
        <v>70</v>
      </c>
      <c r="B100" s="38"/>
      <c r="C100" s="39">
        <v>749</v>
      </c>
      <c r="D100" s="34">
        <f t="shared" si="6"/>
        <v>0</v>
      </c>
      <c r="E100" s="35"/>
      <c r="F100" s="36">
        <f t="shared" si="7"/>
        <v>0</v>
      </c>
      <c r="G100" s="36">
        <f t="shared" si="7"/>
        <v>0</v>
      </c>
      <c r="H100" s="36">
        <f t="shared" si="7"/>
        <v>0</v>
      </c>
      <c r="I100" s="36">
        <f t="shared" si="7"/>
        <v>0</v>
      </c>
      <c r="J100" s="36">
        <f t="shared" si="7"/>
        <v>0</v>
      </c>
      <c r="K100" s="36">
        <f t="shared" si="7"/>
        <v>0</v>
      </c>
      <c r="L100" s="36">
        <f t="shared" si="7"/>
        <v>0</v>
      </c>
      <c r="M100" s="36">
        <f t="shared" si="7"/>
        <v>0</v>
      </c>
      <c r="N100" s="36">
        <f t="shared" si="7"/>
        <v>0</v>
      </c>
    </row>
    <row r="101" spans="1:14">
      <c r="A101" s="37" t="s">
        <v>34</v>
      </c>
      <c r="B101" s="38"/>
      <c r="C101" s="39">
        <v>749</v>
      </c>
      <c r="D101" s="34">
        <f t="shared" si="6"/>
        <v>338213.62</v>
      </c>
      <c r="E101" s="35"/>
      <c r="F101" s="36">
        <f t="shared" si="7"/>
        <v>12410.88</v>
      </c>
      <c r="G101" s="36">
        <f t="shared" si="7"/>
        <v>64500</v>
      </c>
      <c r="H101" s="36">
        <f t="shared" si="7"/>
        <v>53408</v>
      </c>
      <c r="I101" s="36">
        <f t="shared" si="7"/>
        <v>85000</v>
      </c>
      <c r="J101" s="36">
        <f t="shared" si="7"/>
        <v>37898.800000000003</v>
      </c>
      <c r="K101" s="36">
        <f t="shared" si="7"/>
        <v>55308.520000000004</v>
      </c>
      <c r="L101" s="36">
        <f t="shared" si="7"/>
        <v>0</v>
      </c>
      <c r="M101" s="36">
        <f t="shared" si="7"/>
        <v>2887.42</v>
      </c>
      <c r="N101" s="36">
        <f t="shared" si="7"/>
        <v>26800</v>
      </c>
    </row>
    <row r="102" spans="1:14" ht="2.25" customHeight="1" thickBot="1">
      <c r="A102" s="40"/>
      <c r="B102" s="41"/>
      <c r="C102" s="41"/>
      <c r="D102" s="141">
        <f t="shared" ref="D89:D103" si="8">SUM(F102:N102)</f>
        <v>0</v>
      </c>
      <c r="E102" s="41"/>
      <c r="F102" s="42"/>
      <c r="G102" s="42"/>
      <c r="H102" s="42"/>
      <c r="I102" s="42"/>
      <c r="J102" s="42"/>
      <c r="K102" s="43"/>
      <c r="L102" s="43"/>
      <c r="M102" s="43"/>
      <c r="N102" s="43"/>
    </row>
    <row r="103" spans="1:14" ht="15.75" thickBot="1">
      <c r="A103" s="44" t="s">
        <v>4</v>
      </c>
      <c r="B103" s="45"/>
      <c r="C103" s="139"/>
      <c r="D103" s="142">
        <f>+D30-D67</f>
        <v>1022312.9799999997</v>
      </c>
      <c r="E103" s="140"/>
      <c r="F103" s="142">
        <f t="shared" ref="F103:N103" si="9">+F30-F67</f>
        <v>-35044.97</v>
      </c>
      <c r="G103" s="142">
        <f t="shared" si="9"/>
        <v>167970.90000000002</v>
      </c>
      <c r="H103" s="142">
        <f t="shared" si="9"/>
        <v>90849.549999999988</v>
      </c>
      <c r="I103" s="142">
        <f t="shared" si="9"/>
        <v>-109365.95999999999</v>
      </c>
      <c r="J103" s="142">
        <f t="shared" si="9"/>
        <v>22270.739999999991</v>
      </c>
      <c r="K103" s="142">
        <f t="shared" si="9"/>
        <v>546614.92000000004</v>
      </c>
      <c r="L103" s="142">
        <f t="shared" si="9"/>
        <v>195674.18</v>
      </c>
      <c r="M103" s="142">
        <f t="shared" si="9"/>
        <v>27440.92</v>
      </c>
      <c r="N103" s="142">
        <f t="shared" si="9"/>
        <v>115902.69999999998</v>
      </c>
    </row>
    <row r="105" spans="1:14">
      <c r="D105" s="143"/>
    </row>
    <row r="106" spans="1:14">
      <c r="D106" s="143"/>
    </row>
    <row r="111" spans="1:14">
      <c r="D111" s="144"/>
    </row>
  </sheetData>
  <mergeCells count="20">
    <mergeCell ref="A42:N42"/>
    <mergeCell ref="A43:N43"/>
    <mergeCell ref="A44:N44"/>
    <mergeCell ref="A45:N45"/>
    <mergeCell ref="A2:F2"/>
    <mergeCell ref="A3:F3"/>
    <mergeCell ref="A39:F39"/>
    <mergeCell ref="A40:F40"/>
    <mergeCell ref="A33:K33"/>
    <mergeCell ref="A5:N5"/>
    <mergeCell ref="A6:N6"/>
    <mergeCell ref="A7:N7"/>
    <mergeCell ref="A8:N8"/>
    <mergeCell ref="A9:N9"/>
    <mergeCell ref="A83:N83"/>
    <mergeCell ref="A77:F77"/>
    <mergeCell ref="A78:F78"/>
    <mergeCell ref="A80:N80"/>
    <mergeCell ref="A81:N81"/>
    <mergeCell ref="A82:N82"/>
  </mergeCells>
  <pageMargins left="0" right="0.7" top="0.5" bottom="1.02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0"/>
  <sheetViews>
    <sheetView topLeftCell="A80" zoomScaleNormal="100" workbookViewId="0">
      <selection activeCell="C110" sqref="C110"/>
    </sheetView>
  </sheetViews>
  <sheetFormatPr defaultRowHeight="15"/>
  <cols>
    <col min="1" max="1" width="33.28515625" customWidth="1"/>
    <col min="2" max="2" width="5.7109375" customWidth="1"/>
    <col min="3" max="3" width="13.28515625" customWidth="1"/>
    <col min="4" max="4" width="0.42578125" customWidth="1"/>
    <col min="5" max="6" width="12.140625" customWidth="1"/>
    <col min="7" max="7" width="11.42578125" customWidth="1"/>
    <col min="8" max="9" width="11.28515625" customWidth="1"/>
    <col min="10" max="10" width="12.7109375" customWidth="1"/>
    <col min="11" max="11" width="13.28515625" customWidth="1"/>
    <col min="12" max="12" width="12.140625" customWidth="1"/>
    <col min="13" max="13" width="0.42578125" hidden="1" customWidth="1"/>
    <col min="14" max="14" width="12.28515625" customWidth="1"/>
  </cols>
  <sheetData>
    <row r="1" spans="1:14" ht="15.75">
      <c r="A1" s="152" t="s">
        <v>12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5.75">
      <c r="A2" s="152" t="s">
        <v>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15.75">
      <c r="A3" s="146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>
      <c r="A4" s="146" t="s">
        <v>88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15.75" thickBot="1">
      <c r="A5" s="2"/>
      <c r="B5" s="1"/>
      <c r="C5" s="1"/>
      <c r="D5" s="1"/>
      <c r="E5" s="1"/>
      <c r="F5" s="1"/>
      <c r="G5" s="1"/>
      <c r="H5" s="1"/>
      <c r="I5" s="1"/>
      <c r="J5" s="1"/>
    </row>
    <row r="6" spans="1:14">
      <c r="A6" s="121" t="s">
        <v>1</v>
      </c>
      <c r="B6" s="112" t="s">
        <v>2</v>
      </c>
      <c r="C6" s="112" t="s">
        <v>4</v>
      </c>
      <c r="D6" s="112"/>
      <c r="E6" s="112" t="s">
        <v>13</v>
      </c>
      <c r="F6" s="112" t="s">
        <v>56</v>
      </c>
      <c r="G6" s="112" t="s">
        <v>14</v>
      </c>
      <c r="H6" s="112" t="s">
        <v>15</v>
      </c>
      <c r="I6" s="112" t="s">
        <v>17</v>
      </c>
      <c r="J6" s="112" t="s">
        <v>18</v>
      </c>
      <c r="K6" s="112" t="s">
        <v>67</v>
      </c>
      <c r="L6" s="119" t="s">
        <v>74</v>
      </c>
      <c r="M6" s="122"/>
      <c r="N6" s="119" t="s">
        <v>83</v>
      </c>
    </row>
    <row r="7" spans="1:14" ht="15.75" thickBot="1">
      <c r="A7" s="114"/>
      <c r="B7" s="115"/>
      <c r="C7" s="123"/>
      <c r="D7" s="115"/>
      <c r="E7" s="116"/>
      <c r="F7" s="116" t="s">
        <v>57</v>
      </c>
      <c r="G7" s="116"/>
      <c r="H7" s="116" t="s">
        <v>16</v>
      </c>
      <c r="I7" s="116"/>
      <c r="J7" s="116"/>
      <c r="K7" s="116"/>
      <c r="L7" s="120" t="s">
        <v>75</v>
      </c>
      <c r="M7" s="122"/>
      <c r="N7" s="120"/>
    </row>
    <row r="8" spans="1:14" ht="1.5" customHeight="1">
      <c r="A8" s="5"/>
      <c r="B8" s="6"/>
      <c r="C8" s="6"/>
      <c r="D8" s="6"/>
      <c r="E8" s="7"/>
      <c r="F8" s="7"/>
      <c r="G8" s="7"/>
      <c r="H8" s="7"/>
      <c r="I8" s="7"/>
      <c r="J8" s="7"/>
      <c r="K8" s="7"/>
      <c r="L8" s="85"/>
      <c r="N8" s="85"/>
    </row>
    <row r="9" spans="1:14">
      <c r="A9" s="37" t="s">
        <v>60</v>
      </c>
      <c r="B9" s="39">
        <v>751</v>
      </c>
      <c r="C9" s="34">
        <f t="shared" ref="C9:C10" si="0">SUM(E9:J9)</f>
        <v>0</v>
      </c>
      <c r="D9" s="34"/>
      <c r="E9" s="52"/>
      <c r="F9" s="52"/>
      <c r="G9" s="52"/>
      <c r="H9" s="52"/>
      <c r="I9" s="52"/>
      <c r="J9" s="52"/>
      <c r="K9" s="52"/>
      <c r="L9" s="86"/>
      <c r="N9" s="86"/>
    </row>
    <row r="10" spans="1:14">
      <c r="A10" s="37" t="s">
        <v>61</v>
      </c>
      <c r="B10" s="39">
        <v>753</v>
      </c>
      <c r="C10" s="34">
        <f t="shared" si="0"/>
        <v>0</v>
      </c>
      <c r="D10" s="34"/>
      <c r="E10" s="52"/>
      <c r="F10" s="52"/>
      <c r="G10" s="52"/>
      <c r="H10" s="52"/>
      <c r="I10" s="52"/>
      <c r="J10" s="52"/>
      <c r="K10" s="52"/>
      <c r="L10" s="86"/>
      <c r="N10" s="86"/>
    </row>
    <row r="11" spans="1:14">
      <c r="A11" s="37" t="s">
        <v>36</v>
      </c>
      <c r="B11" s="39">
        <v>755</v>
      </c>
      <c r="C11" s="34">
        <f>SUM(E11:N11)</f>
        <v>38130.369999999995</v>
      </c>
      <c r="D11" s="34"/>
      <c r="E11" s="52"/>
      <c r="F11" s="52">
        <v>5000</v>
      </c>
      <c r="G11" s="52">
        <v>1000</v>
      </c>
      <c r="H11" s="52"/>
      <c r="I11" s="52"/>
      <c r="J11" s="52">
        <v>774.55</v>
      </c>
      <c r="K11" s="52">
        <v>17355.82</v>
      </c>
      <c r="L11" s="86"/>
      <c r="N11" s="54">
        <v>14000</v>
      </c>
    </row>
    <row r="12" spans="1:14">
      <c r="A12" s="37" t="s">
        <v>37</v>
      </c>
      <c r="B12" s="39">
        <v>756</v>
      </c>
      <c r="C12" s="34">
        <f t="shared" ref="C12:C33" si="1">SUM(E12:N12)</f>
        <v>48818.01</v>
      </c>
      <c r="D12" s="34"/>
      <c r="E12" s="52">
        <v>1050</v>
      </c>
      <c r="F12" s="52">
        <v>5065.79</v>
      </c>
      <c r="G12" s="52">
        <v>7300</v>
      </c>
      <c r="H12" s="52">
        <v>11514.45</v>
      </c>
      <c r="I12" s="52">
        <v>6757.27</v>
      </c>
      <c r="J12" s="52">
        <v>1476.72</v>
      </c>
      <c r="K12" s="52">
        <v>11060.03</v>
      </c>
      <c r="L12" s="86"/>
      <c r="N12" s="54">
        <v>4593.75</v>
      </c>
    </row>
    <row r="13" spans="1:14">
      <c r="A13" s="37" t="s">
        <v>38</v>
      </c>
      <c r="B13" s="39">
        <v>757</v>
      </c>
      <c r="C13" s="34">
        <f t="shared" si="1"/>
        <v>0</v>
      </c>
      <c r="D13" s="34"/>
      <c r="E13" s="52"/>
      <c r="F13" s="52"/>
      <c r="G13" s="52"/>
      <c r="H13" s="52"/>
      <c r="I13" s="52"/>
      <c r="J13" s="52"/>
      <c r="K13" s="52"/>
      <c r="L13" s="86"/>
      <c r="N13" s="54"/>
    </row>
    <row r="14" spans="1:14">
      <c r="A14" s="37" t="s">
        <v>39</v>
      </c>
      <c r="B14" s="39">
        <v>761</v>
      </c>
      <c r="C14" s="34">
        <f t="shared" si="1"/>
        <v>154199.95000000001</v>
      </c>
      <c r="D14" s="34"/>
      <c r="E14" s="52">
        <v>27853.09</v>
      </c>
      <c r="F14" s="52"/>
      <c r="G14" s="52"/>
      <c r="H14" s="52"/>
      <c r="I14" s="52"/>
      <c r="J14" s="52">
        <v>114128.73</v>
      </c>
      <c r="K14" s="52">
        <v>6218.13</v>
      </c>
      <c r="L14" s="86"/>
      <c r="N14" s="54">
        <v>6000</v>
      </c>
    </row>
    <row r="15" spans="1:14">
      <c r="A15" s="37" t="s">
        <v>40</v>
      </c>
      <c r="B15" s="39">
        <v>762</v>
      </c>
      <c r="C15" s="34">
        <f t="shared" si="1"/>
        <v>0</v>
      </c>
      <c r="D15" s="34"/>
      <c r="E15" s="52"/>
      <c r="F15" s="52"/>
      <c r="G15" s="52"/>
      <c r="H15" s="52"/>
      <c r="I15" s="52"/>
      <c r="J15" s="52"/>
      <c r="K15" s="52"/>
      <c r="L15" s="86"/>
      <c r="N15" s="54"/>
    </row>
    <row r="16" spans="1:14">
      <c r="A16" s="37" t="s">
        <v>41</v>
      </c>
      <c r="B16" s="39">
        <v>765</v>
      </c>
      <c r="C16" s="34">
        <f t="shared" si="1"/>
        <v>20671189.470000003</v>
      </c>
      <c r="D16" s="34"/>
      <c r="E16" s="52">
        <v>617308.37</v>
      </c>
      <c r="F16" s="52"/>
      <c r="G16" s="52">
        <v>90000</v>
      </c>
      <c r="H16" s="52">
        <v>432616.94</v>
      </c>
      <c r="I16" s="52">
        <v>222680.57</v>
      </c>
      <c r="J16" s="52">
        <v>1256156.72</v>
      </c>
      <c r="K16" s="52">
        <v>16125713.23</v>
      </c>
      <c r="L16" s="54"/>
      <c r="N16" s="54">
        <v>1926713.64</v>
      </c>
    </row>
    <row r="17" spans="1:14">
      <c r="A17" s="37" t="s">
        <v>42</v>
      </c>
      <c r="B17" s="39">
        <v>766</v>
      </c>
      <c r="C17" s="34">
        <f t="shared" si="1"/>
        <v>96969.24</v>
      </c>
      <c r="D17" s="34"/>
      <c r="E17" s="52">
        <v>1200</v>
      </c>
      <c r="F17" s="52">
        <v>23298</v>
      </c>
      <c r="G17" s="52">
        <v>52000</v>
      </c>
      <c r="H17" s="52">
        <v>3804</v>
      </c>
      <c r="I17" s="52">
        <v>2148</v>
      </c>
      <c r="J17" s="52">
        <v>8069.24</v>
      </c>
      <c r="K17" s="52">
        <v>2000</v>
      </c>
      <c r="L17" s="86"/>
      <c r="N17" s="54">
        <v>4450</v>
      </c>
    </row>
    <row r="18" spans="1:14">
      <c r="A18" s="37" t="s">
        <v>43</v>
      </c>
      <c r="B18" s="39">
        <v>767</v>
      </c>
      <c r="C18" s="34">
        <f t="shared" si="1"/>
        <v>479158.08</v>
      </c>
      <c r="D18" s="34"/>
      <c r="E18" s="52">
        <v>14209.09</v>
      </c>
      <c r="F18" s="52">
        <v>213331.91</v>
      </c>
      <c r="G18" s="52">
        <v>90417.9</v>
      </c>
      <c r="H18" s="52">
        <v>2262.96</v>
      </c>
      <c r="I18" s="52">
        <v>5966.05</v>
      </c>
      <c r="J18" s="52"/>
      <c r="K18" s="52">
        <v>119364.34</v>
      </c>
      <c r="L18" s="86"/>
      <c r="N18" s="54">
        <v>33605.83</v>
      </c>
    </row>
    <row r="19" spans="1:14">
      <c r="A19" s="37" t="s">
        <v>44</v>
      </c>
      <c r="B19" s="39">
        <v>768</v>
      </c>
      <c r="C19" s="34">
        <f t="shared" si="1"/>
        <v>0</v>
      </c>
      <c r="D19" s="34"/>
      <c r="E19" s="52"/>
      <c r="F19" s="52"/>
      <c r="G19" s="52"/>
      <c r="H19" s="52"/>
      <c r="I19" s="52"/>
      <c r="J19" s="52"/>
      <c r="K19" s="52"/>
      <c r="L19" s="86"/>
      <c r="N19" s="54"/>
    </row>
    <row r="20" spans="1:14">
      <c r="A20" s="37" t="s">
        <v>45</v>
      </c>
      <c r="B20" s="39">
        <v>772</v>
      </c>
      <c r="C20" s="34">
        <f t="shared" si="1"/>
        <v>62300.240000000005</v>
      </c>
      <c r="D20" s="34"/>
      <c r="E20" s="52"/>
      <c r="F20" s="52">
        <v>26400</v>
      </c>
      <c r="G20" s="52"/>
      <c r="H20" s="52"/>
      <c r="I20" s="52"/>
      <c r="J20" s="52">
        <v>12585.36</v>
      </c>
      <c r="K20" s="52">
        <v>23314.880000000001</v>
      </c>
      <c r="L20" s="86"/>
      <c r="N20" s="54"/>
    </row>
    <row r="21" spans="1:14">
      <c r="A21" s="37" t="s">
        <v>46</v>
      </c>
      <c r="B21" s="39">
        <v>773</v>
      </c>
      <c r="C21" s="34">
        <f t="shared" si="1"/>
        <v>0</v>
      </c>
      <c r="D21" s="34"/>
      <c r="E21" s="52"/>
      <c r="F21" s="52"/>
      <c r="G21" s="52"/>
      <c r="H21" s="52"/>
      <c r="I21" s="52"/>
      <c r="J21" s="52"/>
      <c r="K21" s="52"/>
      <c r="L21" s="86"/>
      <c r="N21" s="54"/>
    </row>
    <row r="22" spans="1:14">
      <c r="A22" s="37" t="s">
        <v>47</v>
      </c>
      <c r="B22" s="39">
        <v>775</v>
      </c>
      <c r="C22" s="34">
        <f t="shared" si="1"/>
        <v>32600</v>
      </c>
      <c r="D22" s="34"/>
      <c r="E22" s="52"/>
      <c r="F22" s="52">
        <v>15000</v>
      </c>
      <c r="G22" s="52">
        <v>17600</v>
      </c>
      <c r="H22" s="52"/>
      <c r="I22" s="52"/>
      <c r="J22" s="52"/>
      <c r="K22" s="52"/>
      <c r="L22" s="86"/>
      <c r="N22" s="54"/>
    </row>
    <row r="23" spans="1:14">
      <c r="A23" s="37" t="s">
        <v>48</v>
      </c>
      <c r="B23" s="39">
        <v>780</v>
      </c>
      <c r="C23" s="34">
        <f t="shared" si="1"/>
        <v>10000</v>
      </c>
      <c r="D23" s="34"/>
      <c r="E23" s="52"/>
      <c r="F23" s="52"/>
      <c r="G23" s="52"/>
      <c r="H23" s="52"/>
      <c r="I23" s="52"/>
      <c r="J23" s="52"/>
      <c r="K23" s="52"/>
      <c r="L23" s="86"/>
      <c r="N23" s="54">
        <v>10000</v>
      </c>
    </row>
    <row r="24" spans="1:14">
      <c r="A24" s="37" t="s">
        <v>49</v>
      </c>
      <c r="B24" s="39">
        <v>781</v>
      </c>
      <c r="C24" s="34">
        <f t="shared" si="1"/>
        <v>0</v>
      </c>
      <c r="D24" s="34"/>
      <c r="E24" s="52"/>
      <c r="F24" s="52"/>
      <c r="G24" s="52"/>
      <c r="H24" s="52"/>
      <c r="I24" s="52"/>
      <c r="J24" s="52"/>
      <c r="K24" s="52"/>
      <c r="L24" s="86"/>
      <c r="N24" s="54"/>
    </row>
    <row r="25" spans="1:14">
      <c r="A25" s="37" t="s">
        <v>50</v>
      </c>
      <c r="B25" s="39">
        <v>782</v>
      </c>
      <c r="C25" s="34">
        <f t="shared" si="1"/>
        <v>216600</v>
      </c>
      <c r="D25" s="34"/>
      <c r="E25" s="52">
        <v>24000</v>
      </c>
      <c r="F25" s="52"/>
      <c r="G25" s="52">
        <v>84480</v>
      </c>
      <c r="H25" s="52">
        <v>26400</v>
      </c>
      <c r="I25" s="52">
        <v>3000</v>
      </c>
      <c r="J25" s="52">
        <v>19920</v>
      </c>
      <c r="K25" s="52">
        <v>32400</v>
      </c>
      <c r="L25" s="86"/>
      <c r="N25" s="54">
        <v>26400</v>
      </c>
    </row>
    <row r="26" spans="1:14">
      <c r="A26" s="37" t="s">
        <v>51</v>
      </c>
      <c r="B26" s="39">
        <v>784</v>
      </c>
      <c r="C26" s="34">
        <f t="shared" si="1"/>
        <v>0</v>
      </c>
      <c r="D26" s="34"/>
      <c r="E26" s="52"/>
      <c r="F26" s="52"/>
      <c r="G26" s="52"/>
      <c r="H26" s="52"/>
      <c r="I26" s="52"/>
      <c r="J26" s="52"/>
      <c r="K26" s="52"/>
      <c r="L26" s="86"/>
      <c r="N26" s="54"/>
    </row>
    <row r="27" spans="1:14">
      <c r="A27" s="37" t="s">
        <v>52</v>
      </c>
      <c r="B27" s="39">
        <v>815</v>
      </c>
      <c r="C27" s="34">
        <f t="shared" si="1"/>
        <v>28000</v>
      </c>
      <c r="D27" s="34"/>
      <c r="E27" s="52"/>
      <c r="F27" s="52"/>
      <c r="G27" s="52"/>
      <c r="H27" s="52"/>
      <c r="I27" s="52"/>
      <c r="J27" s="52"/>
      <c r="K27" s="52"/>
      <c r="L27" s="86"/>
      <c r="N27" s="54">
        <v>28000</v>
      </c>
    </row>
    <row r="28" spans="1:14">
      <c r="A28" s="37" t="s">
        <v>53</v>
      </c>
      <c r="B28" s="39">
        <v>826</v>
      </c>
      <c r="C28" s="34">
        <f t="shared" si="1"/>
        <v>16936.45</v>
      </c>
      <c r="D28" s="34"/>
      <c r="E28" s="52"/>
      <c r="F28" s="52"/>
      <c r="G28" s="52">
        <v>5000</v>
      </c>
      <c r="H28" s="52"/>
      <c r="I28" s="52"/>
      <c r="J28" s="52">
        <v>10436.450000000001</v>
      </c>
      <c r="K28" s="52">
        <v>1500</v>
      </c>
      <c r="L28" s="86"/>
      <c r="N28" s="54"/>
    </row>
    <row r="29" spans="1:14">
      <c r="A29" s="37" t="s">
        <v>62</v>
      </c>
      <c r="B29" s="39">
        <v>841</v>
      </c>
      <c r="C29" s="34">
        <f t="shared" si="1"/>
        <v>0</v>
      </c>
      <c r="D29" s="34"/>
      <c r="E29" s="52"/>
      <c r="F29" s="52"/>
      <c r="G29" s="52"/>
      <c r="H29" s="52"/>
      <c r="I29" s="52"/>
      <c r="J29" s="52"/>
      <c r="K29" s="52"/>
      <c r="L29" s="86"/>
      <c r="N29" s="54"/>
    </row>
    <row r="30" spans="1:14">
      <c r="A30" s="37" t="s">
        <v>54</v>
      </c>
      <c r="B30" s="39">
        <v>892</v>
      </c>
      <c r="C30" s="34">
        <f t="shared" si="1"/>
        <v>0</v>
      </c>
      <c r="D30" s="34"/>
      <c r="E30" s="52"/>
      <c r="F30" s="52"/>
      <c r="G30" s="52"/>
      <c r="H30" s="52"/>
      <c r="I30" s="52"/>
      <c r="J30" s="52"/>
      <c r="K30" s="52"/>
      <c r="L30" s="54"/>
      <c r="N30" s="54"/>
    </row>
    <row r="31" spans="1:14">
      <c r="A31" s="37" t="s">
        <v>55</v>
      </c>
      <c r="B31" s="39">
        <v>969</v>
      </c>
      <c r="C31" s="34">
        <f t="shared" si="1"/>
        <v>1218677.5900000001</v>
      </c>
      <c r="D31" s="34"/>
      <c r="E31" s="52">
        <v>17138.7</v>
      </c>
      <c r="F31" s="52">
        <v>151000</v>
      </c>
      <c r="G31" s="52">
        <v>16000</v>
      </c>
      <c r="H31" s="52"/>
      <c r="I31" s="52"/>
      <c r="J31" s="52">
        <v>50642.21</v>
      </c>
      <c r="K31" s="52">
        <v>206500</v>
      </c>
      <c r="L31" s="54"/>
      <c r="N31" s="54">
        <v>777396.68</v>
      </c>
    </row>
    <row r="32" spans="1:14" ht="2.25" customHeight="1">
      <c r="A32" s="37"/>
      <c r="B32" s="38"/>
      <c r="C32" s="34">
        <f t="shared" si="1"/>
        <v>0</v>
      </c>
      <c r="D32" s="38"/>
      <c r="E32" s="52"/>
      <c r="F32" s="52"/>
      <c r="G32" s="52"/>
      <c r="H32" s="52"/>
      <c r="I32" s="52"/>
      <c r="J32" s="52"/>
      <c r="K32" s="52"/>
      <c r="L32" s="54"/>
      <c r="N32" s="54"/>
    </row>
    <row r="33" spans="1:14" ht="15.75" thickBot="1">
      <c r="A33" s="44" t="s">
        <v>4</v>
      </c>
      <c r="B33" s="45"/>
      <c r="C33" s="34">
        <f t="shared" si="1"/>
        <v>23073579.399999999</v>
      </c>
      <c r="D33" s="46"/>
      <c r="E33" s="47">
        <f t="shared" ref="E33:J33" si="2">SUM(E9:E31)</f>
        <v>702759.24999999988</v>
      </c>
      <c r="F33" s="47">
        <f t="shared" si="2"/>
        <v>439095.7</v>
      </c>
      <c r="G33" s="47">
        <f t="shared" si="2"/>
        <v>363797.9</v>
      </c>
      <c r="H33" s="47">
        <f t="shared" si="2"/>
        <v>476598.35000000003</v>
      </c>
      <c r="I33" s="47">
        <f t="shared" si="2"/>
        <v>240551.88999999998</v>
      </c>
      <c r="J33" s="47">
        <f t="shared" si="2"/>
        <v>1474189.98</v>
      </c>
      <c r="K33" s="47">
        <f t="shared" ref="K33:L33" si="3">SUM(K9:K31)</f>
        <v>16545426.430000002</v>
      </c>
      <c r="L33" s="48">
        <f t="shared" si="3"/>
        <v>0</v>
      </c>
      <c r="N33" s="48">
        <f t="shared" ref="N33" si="4">SUM(N9:N31)</f>
        <v>2831159.9</v>
      </c>
    </row>
    <row r="34" spans="1:14">
      <c r="A34" s="29"/>
      <c r="B34" s="29"/>
      <c r="C34" s="30"/>
      <c r="D34" s="29"/>
      <c r="E34" s="29"/>
      <c r="F34" s="29"/>
      <c r="G34" s="29"/>
      <c r="H34" s="29"/>
      <c r="I34" s="29"/>
      <c r="J34" s="29"/>
    </row>
    <row r="35" spans="1:14" ht="15.75" customHeight="1">
      <c r="A35" s="29"/>
      <c r="B35" s="29"/>
      <c r="C35" s="30"/>
      <c r="D35" s="29"/>
      <c r="E35" s="29"/>
      <c r="F35" s="29"/>
      <c r="G35" s="29"/>
      <c r="H35" s="29"/>
      <c r="I35" s="29"/>
      <c r="J35" s="29"/>
    </row>
    <row r="36" spans="1:14" ht="15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4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38" spans="1:14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4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4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4">
      <c r="A41" s="155" t="s">
        <v>5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</row>
    <row r="42" spans="1:14">
      <c r="A42" s="156" t="s">
        <v>12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</row>
    <row r="43" spans="1:14" ht="15.75">
      <c r="A43" s="146" t="s">
        <v>88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1:14" ht="15.75" thickBot="1">
      <c r="A44" s="29"/>
      <c r="B44" s="29"/>
      <c r="C44" s="29"/>
      <c r="D44" s="29"/>
      <c r="E44" s="29"/>
      <c r="F44" s="29"/>
      <c r="G44" s="29"/>
      <c r="H44" s="29"/>
      <c r="I44" s="29"/>
      <c r="J44" s="29"/>
    </row>
    <row r="45" spans="1:14">
      <c r="A45" s="121" t="s">
        <v>1</v>
      </c>
      <c r="B45" s="112" t="s">
        <v>2</v>
      </c>
      <c r="C45" s="112" t="s">
        <v>4</v>
      </c>
      <c r="D45" s="112"/>
      <c r="E45" s="112" t="s">
        <v>13</v>
      </c>
      <c r="F45" s="112" t="s">
        <v>56</v>
      </c>
      <c r="G45" s="112" t="s">
        <v>14</v>
      </c>
      <c r="H45" s="112" t="s">
        <v>15</v>
      </c>
      <c r="I45" s="112" t="s">
        <v>17</v>
      </c>
      <c r="J45" s="112" t="s">
        <v>18</v>
      </c>
      <c r="K45" s="112" t="s">
        <v>67</v>
      </c>
      <c r="L45" s="119" t="s">
        <v>74</v>
      </c>
      <c r="M45" s="122"/>
      <c r="N45" s="119" t="s">
        <v>83</v>
      </c>
    </row>
    <row r="46" spans="1:14" ht="15.75" thickBot="1">
      <c r="A46" s="114"/>
      <c r="B46" s="115"/>
      <c r="C46" s="115"/>
      <c r="D46" s="115"/>
      <c r="E46" s="116"/>
      <c r="F46" s="116" t="s">
        <v>57</v>
      </c>
      <c r="G46" s="116"/>
      <c r="H46" s="116" t="s">
        <v>16</v>
      </c>
      <c r="I46" s="116"/>
      <c r="J46" s="116"/>
      <c r="K46" s="116"/>
      <c r="L46" s="120" t="s">
        <v>75</v>
      </c>
      <c r="M46" s="122"/>
      <c r="N46" s="120"/>
    </row>
    <row r="47" spans="1:14" ht="1.5" customHeight="1">
      <c r="A47" s="12"/>
      <c r="B47" s="13"/>
      <c r="C47" s="13"/>
      <c r="D47" s="13"/>
      <c r="E47" s="25"/>
      <c r="F47" s="25"/>
      <c r="G47" s="25"/>
      <c r="H47" s="25"/>
      <c r="I47" s="25"/>
      <c r="J47" s="25"/>
      <c r="K47" s="7"/>
      <c r="L47" s="87"/>
      <c r="N47" s="87"/>
    </row>
    <row r="48" spans="1:14">
      <c r="A48" s="37" t="s">
        <v>60</v>
      </c>
      <c r="B48" s="39">
        <v>751</v>
      </c>
      <c r="C48" s="34">
        <f>SUM(E48:N48)</f>
        <v>17985.62</v>
      </c>
      <c r="D48" s="34"/>
      <c r="E48" s="52"/>
      <c r="F48" s="52"/>
      <c r="G48" s="52"/>
      <c r="H48" s="52">
        <f>6579.12+2250+7003+132+161.5</f>
        <v>16125.619999999999</v>
      </c>
      <c r="I48" s="52">
        <v>1860</v>
      </c>
      <c r="J48" s="52"/>
      <c r="K48" s="52"/>
      <c r="L48" s="86"/>
      <c r="N48" s="86"/>
    </row>
    <row r="49" spans="1:16">
      <c r="A49" s="37" t="s">
        <v>61</v>
      </c>
      <c r="B49" s="39">
        <v>753</v>
      </c>
      <c r="C49" s="34">
        <f t="shared" ref="C49:C72" si="5">SUM(E49:N49)</f>
        <v>30200</v>
      </c>
      <c r="D49" s="34"/>
      <c r="E49" s="52"/>
      <c r="F49" s="52"/>
      <c r="G49" s="52"/>
      <c r="H49" s="52">
        <f>4800+2000+15400+3500+4500</f>
        <v>30200</v>
      </c>
      <c r="I49" s="52"/>
      <c r="J49" s="52"/>
      <c r="K49" s="52"/>
      <c r="L49" s="86"/>
      <c r="N49" s="86"/>
    </row>
    <row r="50" spans="1:16">
      <c r="A50" s="37" t="s">
        <v>36</v>
      </c>
      <c r="B50" s="39">
        <v>755</v>
      </c>
      <c r="C50" s="34">
        <f t="shared" si="5"/>
        <v>550</v>
      </c>
      <c r="D50" s="34"/>
      <c r="E50" s="52"/>
      <c r="F50" s="52"/>
      <c r="G50" s="52">
        <f>550</f>
        <v>550</v>
      </c>
      <c r="H50" s="52"/>
      <c r="I50" s="52"/>
      <c r="J50" s="52"/>
      <c r="K50" s="52"/>
      <c r="L50" s="86"/>
      <c r="N50" s="86"/>
    </row>
    <row r="51" spans="1:16">
      <c r="A51" s="37" t="s">
        <v>37</v>
      </c>
      <c r="B51" s="39">
        <v>756</v>
      </c>
      <c r="C51" s="34">
        <f t="shared" si="5"/>
        <v>15259.29</v>
      </c>
      <c r="D51" s="34"/>
      <c r="E51" s="52">
        <v>491.25</v>
      </c>
      <c r="F51" s="52"/>
      <c r="G51" s="52"/>
      <c r="H51" s="52">
        <f>5479.5</f>
        <v>5479.5</v>
      </c>
      <c r="I51" s="52">
        <v>2707.99</v>
      </c>
      <c r="J51" s="52"/>
      <c r="K51" s="52">
        <f>4630.3</f>
        <v>4630.3</v>
      </c>
      <c r="L51" s="54">
        <v>581.75</v>
      </c>
      <c r="N51" s="54">
        <f>159+142.75+221.75+242+603</f>
        <v>1368.5</v>
      </c>
    </row>
    <row r="52" spans="1:16">
      <c r="A52" s="37" t="s">
        <v>38</v>
      </c>
      <c r="B52" s="39">
        <v>757</v>
      </c>
      <c r="C52" s="34">
        <f t="shared" si="5"/>
        <v>0</v>
      </c>
      <c r="D52" s="34"/>
      <c r="E52" s="52"/>
      <c r="F52" s="52"/>
      <c r="G52" s="52"/>
      <c r="H52" s="52"/>
      <c r="I52" s="52"/>
      <c r="J52" s="52"/>
      <c r="K52" s="52"/>
      <c r="L52" s="86"/>
      <c r="N52" s="54"/>
    </row>
    <row r="53" spans="1:16">
      <c r="A53" s="37" t="s">
        <v>39</v>
      </c>
      <c r="B53" s="39">
        <v>761</v>
      </c>
      <c r="C53" s="34">
        <f t="shared" si="5"/>
        <v>0</v>
      </c>
      <c r="D53" s="34"/>
      <c r="E53" s="52"/>
      <c r="F53" s="52"/>
      <c r="G53" s="52"/>
      <c r="H53" s="52"/>
      <c r="I53" s="52"/>
      <c r="J53" s="52"/>
      <c r="K53" s="52"/>
      <c r="L53" s="88"/>
      <c r="N53" s="54"/>
    </row>
    <row r="54" spans="1:16">
      <c r="A54" s="37" t="s">
        <v>40</v>
      </c>
      <c r="B54" s="39">
        <v>762</v>
      </c>
      <c r="C54" s="34">
        <f t="shared" si="5"/>
        <v>0</v>
      </c>
      <c r="D54" s="34"/>
      <c r="E54" s="52"/>
      <c r="F54" s="52"/>
      <c r="G54" s="52"/>
      <c r="H54" s="52"/>
      <c r="I54" s="52"/>
      <c r="J54" s="52"/>
      <c r="K54" s="52"/>
      <c r="L54" s="86"/>
      <c r="N54" s="54"/>
    </row>
    <row r="55" spans="1:16">
      <c r="A55" s="37" t="s">
        <v>41</v>
      </c>
      <c r="B55" s="39">
        <v>765</v>
      </c>
      <c r="C55" s="34">
        <f t="shared" si="5"/>
        <v>14410063.020000001</v>
      </c>
      <c r="D55" s="34"/>
      <c r="E55" s="52">
        <f>30000+30049.6+67612.4+14497.64+29927.74+8294.5+51212.4+36700.8+22135.75+27556.85+48642.55+40892.4+54023.2</f>
        <v>461545.83</v>
      </c>
      <c r="F55" s="52">
        <f>4999+4798.96+4281+17125.05+126226.21+4752+4357.7+4743.25+93189</f>
        <v>264472.17000000004</v>
      </c>
      <c r="G55" s="52">
        <f>4999+4997.5+4930.5+4683.7+19800+4972.55+44752</f>
        <v>89135.25</v>
      </c>
      <c r="H55" s="52">
        <v>112140</v>
      </c>
      <c r="I55" s="52">
        <f>4999+58018.2+1800+4140+4677+6417+8445+95908.24+4000+4800</f>
        <v>193204.44</v>
      </c>
      <c r="J55" s="52">
        <f>30000+99610.69+88085.2+49504.76+37995.5+29706.7+72117+558337.29+349419.05+200749.75+39447.5+30016.5</f>
        <v>1584989.9400000002</v>
      </c>
      <c r="K55" s="52">
        <f>729081.41+1454737.41+646712.26+904841.14+1278675.73+1058696.79+1052339.19+493727.1+21494.5+717528.25+1552898.89</f>
        <v>9910732.6699999999</v>
      </c>
      <c r="L55" s="54">
        <f>9777+6593+8775+5400+4845+3460+14485+9061+10000+16431</f>
        <v>88827</v>
      </c>
      <c r="N55" s="54">
        <f>542028.47+437065.22+259593.87+177533.96+288794.2</f>
        <v>1705015.72</v>
      </c>
    </row>
    <row r="56" spans="1:16">
      <c r="A56" s="37" t="s">
        <v>42</v>
      </c>
      <c r="B56" s="39">
        <v>766</v>
      </c>
      <c r="C56" s="34">
        <f t="shared" si="5"/>
        <v>26013</v>
      </c>
      <c r="D56" s="34"/>
      <c r="E56" s="52">
        <f>100+140+140+130+120+140+160+220+280+210+240+540</f>
        <v>2420</v>
      </c>
      <c r="F56" s="52"/>
      <c r="G56" s="52">
        <f>960+554+554+179+2284+1859+2101+480+1541+1083+747+992</f>
        <v>13334</v>
      </c>
      <c r="H56" s="52">
        <f>2853</f>
        <v>2853</v>
      </c>
      <c r="I56" s="52">
        <f>1611</f>
        <v>1611</v>
      </c>
      <c r="J56" s="52">
        <f>160+250+290+110+140+454+110+110+210</f>
        <v>1834</v>
      </c>
      <c r="K56" s="52">
        <f>140+1611</f>
        <v>1751</v>
      </c>
      <c r="L56" s="86"/>
      <c r="N56" s="54">
        <f>520+460+480+340+410</f>
        <v>2210</v>
      </c>
    </row>
    <row r="57" spans="1:16">
      <c r="A57" s="37" t="s">
        <v>43</v>
      </c>
      <c r="B57" s="39">
        <v>767</v>
      </c>
      <c r="C57" s="34">
        <f t="shared" si="5"/>
        <v>440145.12999999989</v>
      </c>
      <c r="D57" s="34"/>
      <c r="E57" s="52">
        <f>988.68+1136.5+1321.87+1059.26+966.57+1337.32+2429.18+3027.19+3016.88+3583.96+3099.36+2666.32</f>
        <v>24633.09</v>
      </c>
      <c r="F57" s="52">
        <f>11686.72+23760.64+14959.75+16482.3+18439.92+21358.37+23721.45+15695.5+15822.24+34321.41</f>
        <v>196248.3</v>
      </c>
      <c r="G57" s="52">
        <f>1609.36+6669.47+5699.98+6762.94+9264.1+7642.09+6686.13+3964.92+3964.92+5439.92+4290.18+4873.67+8004.76</f>
        <v>74872.439999999988</v>
      </c>
      <c r="H57" s="52">
        <f>1697.22</f>
        <v>1697.22</v>
      </c>
      <c r="I57" s="52">
        <f>514+467.42+553+537.44+521.88+708.6+868.86+692.62+682.26+1263.07+754.82+588.96</f>
        <v>8152.9299999999994</v>
      </c>
      <c r="J57" s="52">
        <f>10877.64+4690.04+7629.8+6763.71</f>
        <v>29961.19</v>
      </c>
      <c r="K57" s="52">
        <f>8631.47+8540.37+8515.62+7835.07+7952.06+10070.65+7089.65+6480.33+5514.25+2557.01+4364.25+4896.4</f>
        <v>82447.12999999999</v>
      </c>
      <c r="L57" s="54">
        <v>1697.22</v>
      </c>
      <c r="N57" s="54">
        <f>2854.32+4112.21+4576.19+2895.56+5997.33</f>
        <v>20435.61</v>
      </c>
      <c r="P57" s="107"/>
    </row>
    <row r="58" spans="1:16">
      <c r="A58" s="37" t="s">
        <v>44</v>
      </c>
      <c r="B58" s="39">
        <v>768</v>
      </c>
      <c r="C58" s="34">
        <f t="shared" si="5"/>
        <v>0</v>
      </c>
      <c r="D58" s="34"/>
      <c r="E58" s="52"/>
      <c r="F58" s="52"/>
      <c r="G58" s="52"/>
      <c r="H58" s="52"/>
      <c r="I58" s="52"/>
      <c r="J58" s="52"/>
      <c r="K58" s="52"/>
      <c r="L58" s="86"/>
      <c r="N58" s="54"/>
    </row>
    <row r="59" spans="1:16">
      <c r="A59" s="37" t="s">
        <v>45</v>
      </c>
      <c r="B59" s="39">
        <v>772</v>
      </c>
      <c r="C59" s="34">
        <f t="shared" si="5"/>
        <v>55725.62</v>
      </c>
      <c r="D59" s="34"/>
      <c r="E59" s="52"/>
      <c r="F59" s="52">
        <f>1483.23+2299+2299+2299+2299+2299+2299+2299+2299+2299+4940.65</f>
        <v>27114.879999999997</v>
      </c>
      <c r="G59" s="52"/>
      <c r="H59" s="52"/>
      <c r="I59" s="52"/>
      <c r="J59" s="52">
        <f>1048.78+1048.78+1048.78+2103.16+3146.34+1048.78+1048.78+1048.78+1048.78</f>
        <v>12590.960000000003</v>
      </c>
      <c r="K59" s="52">
        <f>1359.38+1374.15+1359.38+1359.38+1359.38+1359.37+1359.38+1359.38+1359.38+1362.44+1048.78+1359.38</f>
        <v>16019.780000000006</v>
      </c>
      <c r="L59" s="86"/>
      <c r="N59" s="54"/>
    </row>
    <row r="60" spans="1:16">
      <c r="A60" s="37" t="s">
        <v>46</v>
      </c>
      <c r="B60" s="39">
        <v>773</v>
      </c>
      <c r="C60" s="34">
        <f t="shared" si="5"/>
        <v>0</v>
      </c>
      <c r="D60" s="34"/>
      <c r="E60" s="52"/>
      <c r="F60" s="52"/>
      <c r="G60" s="52"/>
      <c r="H60" s="52"/>
      <c r="I60" s="52"/>
      <c r="J60" s="52"/>
      <c r="K60" s="52"/>
      <c r="L60" s="86"/>
      <c r="N60" s="54"/>
    </row>
    <row r="61" spans="1:16" ht="14.25" customHeight="1">
      <c r="A61" s="37" t="s">
        <v>47</v>
      </c>
      <c r="B61" s="39">
        <v>775</v>
      </c>
      <c r="C61" s="34">
        <f t="shared" si="5"/>
        <v>40652.89</v>
      </c>
      <c r="D61" s="34"/>
      <c r="E61" s="52"/>
      <c r="F61" s="52">
        <f>1250+1250+1250+1250+1250+1250+1250+1250+1250+1250+1250</f>
        <v>13750</v>
      </c>
      <c r="G61" s="52">
        <f>1650+1100+2200+550+1650+1100+1650+1200+1100+6097.54+6094.67+2510.68</f>
        <v>26902.89</v>
      </c>
      <c r="H61" s="52"/>
      <c r="I61" s="52"/>
      <c r="J61" s="52"/>
      <c r="K61" s="52"/>
      <c r="L61" s="86"/>
      <c r="N61" s="54"/>
    </row>
    <row r="62" spans="1:16" ht="16.5" customHeight="1">
      <c r="A62" s="37" t="s">
        <v>48</v>
      </c>
      <c r="B62" s="39">
        <v>780</v>
      </c>
      <c r="C62" s="34">
        <f t="shared" si="5"/>
        <v>0</v>
      </c>
      <c r="D62" s="34"/>
      <c r="E62" s="52"/>
      <c r="F62" s="52"/>
      <c r="G62" s="52"/>
      <c r="H62" s="52"/>
      <c r="I62" s="52"/>
      <c r="J62" s="52"/>
      <c r="K62" s="52"/>
      <c r="L62" s="86"/>
      <c r="N62" s="54"/>
    </row>
    <row r="63" spans="1:16">
      <c r="A63" s="37" t="s">
        <v>49</v>
      </c>
      <c r="B63" s="39">
        <v>781</v>
      </c>
      <c r="C63" s="34">
        <f t="shared" si="5"/>
        <v>0</v>
      </c>
      <c r="D63" s="34"/>
      <c r="E63" s="52"/>
      <c r="F63" s="52"/>
      <c r="G63" s="52"/>
      <c r="H63" s="52"/>
      <c r="I63" s="52"/>
      <c r="J63" s="52"/>
      <c r="K63" s="52"/>
      <c r="L63" s="86"/>
      <c r="N63" s="54"/>
    </row>
    <row r="64" spans="1:16">
      <c r="A64" s="37" t="s">
        <v>50</v>
      </c>
      <c r="B64" s="39">
        <v>782</v>
      </c>
      <c r="C64" s="34">
        <f t="shared" si="5"/>
        <v>74670</v>
      </c>
      <c r="D64" s="34"/>
      <c r="E64" s="52">
        <v>18000</v>
      </c>
      <c r="F64" s="52"/>
      <c r="G64" s="52"/>
      <c r="H64" s="52">
        <v>19800</v>
      </c>
      <c r="I64" s="52">
        <v>2250</v>
      </c>
      <c r="J64" s="52"/>
      <c r="K64" s="52">
        <f>20220</f>
        <v>20220</v>
      </c>
      <c r="L64" s="86"/>
      <c r="N64" s="54">
        <f>2400+2400+2400+2400+4800</f>
        <v>14400</v>
      </c>
    </row>
    <row r="65" spans="1:14">
      <c r="A65" s="37" t="s">
        <v>51</v>
      </c>
      <c r="B65" s="39">
        <v>784</v>
      </c>
      <c r="C65" s="34">
        <f t="shared" si="5"/>
        <v>0</v>
      </c>
      <c r="D65" s="34"/>
      <c r="E65" s="52"/>
      <c r="F65" s="52"/>
      <c r="G65" s="52"/>
      <c r="H65" s="52"/>
      <c r="I65" s="52"/>
      <c r="J65" s="52"/>
      <c r="K65" s="52"/>
      <c r="L65" s="86"/>
      <c r="N65" s="54"/>
    </row>
    <row r="66" spans="1:14">
      <c r="A66" s="37" t="s">
        <v>52</v>
      </c>
      <c r="B66" s="39">
        <v>815</v>
      </c>
      <c r="C66" s="34">
        <f t="shared" si="5"/>
        <v>60724.6</v>
      </c>
      <c r="D66" s="34"/>
      <c r="E66" s="52"/>
      <c r="F66" s="52"/>
      <c r="G66" s="52">
        <f>42124.6+18600</f>
        <v>60724.6</v>
      </c>
      <c r="H66" s="52"/>
      <c r="I66" s="52"/>
      <c r="J66" s="52"/>
      <c r="K66" s="52"/>
      <c r="L66" s="86"/>
      <c r="N66" s="54"/>
    </row>
    <row r="67" spans="1:14">
      <c r="A67" s="37" t="s">
        <v>53</v>
      </c>
      <c r="B67" s="39">
        <v>862</v>
      </c>
      <c r="C67" s="34">
        <f t="shared" si="5"/>
        <v>4778.5</v>
      </c>
      <c r="D67" s="34"/>
      <c r="E67" s="52"/>
      <c r="F67" s="52"/>
      <c r="G67" s="52"/>
      <c r="H67" s="52"/>
      <c r="I67" s="52"/>
      <c r="J67" s="52">
        <v>4778.5</v>
      </c>
      <c r="K67" s="52"/>
      <c r="L67" s="89"/>
      <c r="N67" s="43"/>
    </row>
    <row r="68" spans="1:14">
      <c r="A68" s="37" t="s">
        <v>62</v>
      </c>
      <c r="B68" s="39">
        <v>841</v>
      </c>
      <c r="C68" s="34">
        <f t="shared" si="5"/>
        <v>0</v>
      </c>
      <c r="D68" s="34"/>
      <c r="E68" s="52"/>
      <c r="F68" s="52"/>
      <c r="G68" s="52"/>
      <c r="H68" s="52"/>
      <c r="I68" s="52"/>
      <c r="J68" s="52"/>
      <c r="K68" s="52"/>
      <c r="L68" s="86"/>
      <c r="N68" s="54"/>
    </row>
    <row r="69" spans="1:14" ht="17.25" customHeight="1">
      <c r="A69" s="37" t="s">
        <v>54</v>
      </c>
      <c r="B69" s="39">
        <v>892</v>
      </c>
      <c r="C69" s="34">
        <f t="shared" si="5"/>
        <v>0</v>
      </c>
      <c r="D69" s="34"/>
      <c r="E69" s="52"/>
      <c r="F69" s="52"/>
      <c r="G69" s="52"/>
      <c r="H69" s="52"/>
      <c r="I69" s="52"/>
      <c r="J69" s="52"/>
      <c r="K69" s="52"/>
      <c r="L69" s="54"/>
      <c r="N69" s="54"/>
    </row>
    <row r="70" spans="1:14">
      <c r="A70" s="37" t="s">
        <v>55</v>
      </c>
      <c r="B70" s="39">
        <v>969</v>
      </c>
      <c r="C70" s="34">
        <f t="shared" si="5"/>
        <v>1458232.55</v>
      </c>
      <c r="D70" s="34"/>
      <c r="E70" s="52">
        <f>79942.46+63047.72+1680</f>
        <v>144670.18</v>
      </c>
      <c r="F70" s="52">
        <f>1200+2100+18300+88916.38+4800+8424</f>
        <v>123740.38</v>
      </c>
      <c r="G70" s="52">
        <f>226554.86+550+550+4760</f>
        <v>232414.86</v>
      </c>
      <c r="H70" s="52">
        <f>101993.14+48990.69</f>
        <v>150983.83000000002</v>
      </c>
      <c r="I70" s="52">
        <f>900+68924.83+32593.62+4760</f>
        <v>107178.45</v>
      </c>
      <c r="J70" s="52">
        <f>1500+16575</f>
        <v>18075</v>
      </c>
      <c r="K70" s="52">
        <f>10487.5+10000+18825+9000+53262.36+6818.56</f>
        <v>108393.42</v>
      </c>
      <c r="L70" s="54">
        <v>7793.53</v>
      </c>
      <c r="N70" s="54">
        <f>1500+563482.9</f>
        <v>564982.9</v>
      </c>
    </row>
    <row r="71" spans="1:14" ht="2.25" customHeight="1" thickBot="1">
      <c r="A71" s="37"/>
      <c r="B71" s="38"/>
      <c r="C71" s="141">
        <f t="shared" si="5"/>
        <v>0</v>
      </c>
      <c r="D71" s="38"/>
      <c r="E71" s="52"/>
      <c r="F71" s="52"/>
      <c r="G71" s="52"/>
      <c r="H71" s="52"/>
      <c r="I71" s="52"/>
      <c r="J71" s="52"/>
      <c r="K71" s="52"/>
      <c r="L71" s="54"/>
      <c r="N71" s="54"/>
    </row>
    <row r="72" spans="1:14" ht="15.75" thickBot="1">
      <c r="A72" s="44" t="s">
        <v>4</v>
      </c>
      <c r="B72" s="139"/>
      <c r="C72" s="142">
        <f t="shared" si="5"/>
        <v>16635000.220000003</v>
      </c>
      <c r="D72" s="140"/>
      <c r="E72" s="47">
        <f>SUM(E48:E70)</f>
        <v>651760.35000000009</v>
      </c>
      <c r="F72" s="47">
        <f t="shared" ref="F72:L72" si="6">SUM(F48:F70)</f>
        <v>625325.73</v>
      </c>
      <c r="G72" s="47">
        <f t="shared" si="6"/>
        <v>497934.04</v>
      </c>
      <c r="H72" s="47">
        <f t="shared" si="6"/>
        <v>339279.17000000004</v>
      </c>
      <c r="I72" s="47">
        <f t="shared" si="6"/>
        <v>316964.81</v>
      </c>
      <c r="J72" s="47">
        <f t="shared" si="6"/>
        <v>1652229.59</v>
      </c>
      <c r="K72" s="47">
        <f t="shared" si="6"/>
        <v>10144194.300000001</v>
      </c>
      <c r="L72" s="47">
        <f t="shared" si="6"/>
        <v>98899.5</v>
      </c>
      <c r="N72" s="47">
        <f t="shared" ref="N72" si="7">SUM(N48:N70)</f>
        <v>2308412.73</v>
      </c>
    </row>
    <row r="73" spans="1:14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4">
      <c r="A74" s="29"/>
      <c r="B74" s="29"/>
      <c r="C74" s="30"/>
      <c r="D74" s="29"/>
      <c r="E74" s="30"/>
      <c r="F74" s="29"/>
      <c r="G74" s="29"/>
      <c r="H74" s="29"/>
      <c r="I74" s="29"/>
      <c r="J74" s="29"/>
    </row>
    <row r="75" spans="1:14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4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4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4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4" s="28" customFormat="1">
      <c r="A79" s="155" t="s">
        <v>12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</row>
    <row r="80" spans="1:14" s="28" customFormat="1">
      <c r="A80" s="156" t="s">
        <v>6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28" customFormat="1" ht="16.5" thickBot="1">
      <c r="A81" s="146" t="s">
        <v>88</v>
      </c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</row>
    <row r="82" spans="1:14">
      <c r="A82" s="121" t="s">
        <v>1</v>
      </c>
      <c r="B82" s="112" t="s">
        <v>2</v>
      </c>
      <c r="C82" s="112" t="s">
        <v>4</v>
      </c>
      <c r="D82" s="112"/>
      <c r="E82" s="112" t="s">
        <v>13</v>
      </c>
      <c r="F82" s="112" t="s">
        <v>56</v>
      </c>
      <c r="G82" s="112" t="s">
        <v>14</v>
      </c>
      <c r="H82" s="112" t="s">
        <v>15</v>
      </c>
      <c r="I82" s="112" t="s">
        <v>17</v>
      </c>
      <c r="J82" s="112" t="s">
        <v>18</v>
      </c>
      <c r="K82" s="112" t="s">
        <v>67</v>
      </c>
      <c r="L82" s="119" t="s">
        <v>72</v>
      </c>
      <c r="M82" s="122"/>
      <c r="N82" s="119" t="s">
        <v>83</v>
      </c>
    </row>
    <row r="83" spans="1:14">
      <c r="A83" s="124"/>
      <c r="B83" s="125"/>
      <c r="C83" s="125"/>
      <c r="D83" s="125"/>
      <c r="E83" s="126"/>
      <c r="F83" s="126" t="s">
        <v>57</v>
      </c>
      <c r="G83" s="126"/>
      <c r="H83" s="126" t="s">
        <v>16</v>
      </c>
      <c r="I83" s="126"/>
      <c r="J83" s="126"/>
      <c r="K83" s="126"/>
      <c r="L83" s="127" t="s">
        <v>71</v>
      </c>
      <c r="M83" s="122"/>
      <c r="N83" s="127" t="s">
        <v>84</v>
      </c>
    </row>
    <row r="84" spans="1:14" ht="1.5" customHeight="1" thickBot="1">
      <c r="A84" s="14"/>
      <c r="B84" s="15"/>
      <c r="C84" s="15"/>
      <c r="D84" s="15"/>
      <c r="E84" s="24"/>
      <c r="F84" s="24"/>
      <c r="G84" s="24"/>
      <c r="H84" s="24"/>
      <c r="I84" s="24"/>
      <c r="J84" s="24"/>
      <c r="K84" s="92"/>
      <c r="L84" s="93"/>
      <c r="N84" s="93"/>
    </row>
    <row r="85" spans="1:14">
      <c r="A85" s="31" t="s">
        <v>60</v>
      </c>
      <c r="B85" s="33">
        <v>751</v>
      </c>
      <c r="C85" s="35">
        <f>SUM(E85:N85)</f>
        <v>-17985.62</v>
      </c>
      <c r="D85" s="35"/>
      <c r="E85" s="90">
        <f>+E9-E48</f>
        <v>0</v>
      </c>
      <c r="F85" s="90">
        <f t="shared" ref="F85:J85" si="8">+F9-F48</f>
        <v>0</v>
      </c>
      <c r="G85" s="90">
        <f t="shared" si="8"/>
        <v>0</v>
      </c>
      <c r="H85" s="90">
        <f t="shared" si="8"/>
        <v>-16125.619999999999</v>
      </c>
      <c r="I85" s="90">
        <f t="shared" si="8"/>
        <v>-1860</v>
      </c>
      <c r="J85" s="90">
        <f t="shared" si="8"/>
        <v>0</v>
      </c>
      <c r="K85" s="90"/>
      <c r="L85" s="91"/>
      <c r="N85" s="91"/>
    </row>
    <row r="86" spans="1:14">
      <c r="A86" s="37" t="s">
        <v>61</v>
      </c>
      <c r="B86" s="39">
        <v>753</v>
      </c>
      <c r="C86" s="35">
        <f t="shared" ref="C86:C107" si="9">SUM(E86:N86)</f>
        <v>-30200</v>
      </c>
      <c r="D86" s="34"/>
      <c r="E86" s="52">
        <f>+E10-E49</f>
        <v>0</v>
      </c>
      <c r="F86" s="52">
        <f t="shared" ref="F86:J86" si="10">+F10-F49</f>
        <v>0</v>
      </c>
      <c r="G86" s="52">
        <f t="shared" si="10"/>
        <v>0</v>
      </c>
      <c r="H86" s="52">
        <f t="shared" si="10"/>
        <v>-30200</v>
      </c>
      <c r="I86" s="52">
        <f t="shared" si="10"/>
        <v>0</v>
      </c>
      <c r="J86" s="52">
        <f t="shared" si="10"/>
        <v>0</v>
      </c>
      <c r="K86" s="52"/>
      <c r="L86" s="54"/>
      <c r="N86" s="54"/>
    </row>
    <row r="87" spans="1:14">
      <c r="A87" s="37" t="s">
        <v>36</v>
      </c>
      <c r="B87" s="39">
        <v>755</v>
      </c>
      <c r="C87" s="35">
        <f t="shared" si="9"/>
        <v>37580.369999999995</v>
      </c>
      <c r="D87" s="34"/>
      <c r="E87" s="52">
        <f>+E11-E50</f>
        <v>0</v>
      </c>
      <c r="F87" s="52">
        <f t="shared" ref="F87:K87" si="11">+F11-F50</f>
        <v>5000</v>
      </c>
      <c r="G87" s="52">
        <f t="shared" si="11"/>
        <v>450</v>
      </c>
      <c r="H87" s="52">
        <f t="shared" si="11"/>
        <v>0</v>
      </c>
      <c r="I87" s="52">
        <f t="shared" si="11"/>
        <v>0</v>
      </c>
      <c r="J87" s="52">
        <f t="shared" si="11"/>
        <v>774.55</v>
      </c>
      <c r="K87" s="52">
        <f t="shared" si="11"/>
        <v>17355.82</v>
      </c>
      <c r="L87" s="54">
        <f t="shared" ref="L87:N87" si="12">+L11-L50</f>
        <v>0</v>
      </c>
      <c r="N87" s="54">
        <f t="shared" si="12"/>
        <v>14000</v>
      </c>
    </row>
    <row r="88" spans="1:14" ht="15" customHeight="1">
      <c r="A88" s="37" t="s">
        <v>37</v>
      </c>
      <c r="B88" s="39">
        <v>756</v>
      </c>
      <c r="C88" s="35">
        <f t="shared" si="9"/>
        <v>33558.720000000001</v>
      </c>
      <c r="D88" s="34"/>
      <c r="E88" s="52">
        <f t="shared" ref="E88:K97" si="13">+E12-E51</f>
        <v>558.75</v>
      </c>
      <c r="F88" s="52">
        <f t="shared" si="13"/>
        <v>5065.79</v>
      </c>
      <c r="G88" s="52">
        <f t="shared" si="13"/>
        <v>7300</v>
      </c>
      <c r="H88" s="52">
        <f t="shared" si="13"/>
        <v>6034.9500000000007</v>
      </c>
      <c r="I88" s="52">
        <f t="shared" si="13"/>
        <v>4049.2800000000007</v>
      </c>
      <c r="J88" s="52">
        <f t="shared" si="13"/>
        <v>1476.72</v>
      </c>
      <c r="K88" s="52">
        <f t="shared" si="13"/>
        <v>6429.7300000000005</v>
      </c>
      <c r="L88" s="54">
        <f t="shared" ref="L88:N88" si="14">+L12-L51</f>
        <v>-581.75</v>
      </c>
      <c r="N88" s="54">
        <f t="shared" si="14"/>
        <v>3225.25</v>
      </c>
    </row>
    <row r="89" spans="1:14">
      <c r="A89" s="37" t="s">
        <v>38</v>
      </c>
      <c r="B89" s="39">
        <v>757</v>
      </c>
      <c r="C89" s="35">
        <f t="shared" si="9"/>
        <v>0</v>
      </c>
      <c r="D89" s="34"/>
      <c r="E89" s="52">
        <f t="shared" si="13"/>
        <v>0</v>
      </c>
      <c r="F89" s="52">
        <f t="shared" si="13"/>
        <v>0</v>
      </c>
      <c r="G89" s="52">
        <f t="shared" si="13"/>
        <v>0</v>
      </c>
      <c r="H89" s="52">
        <f t="shared" si="13"/>
        <v>0</v>
      </c>
      <c r="I89" s="52">
        <f t="shared" si="13"/>
        <v>0</v>
      </c>
      <c r="J89" s="52">
        <f t="shared" si="13"/>
        <v>0</v>
      </c>
      <c r="K89" s="52">
        <f t="shared" si="13"/>
        <v>0</v>
      </c>
      <c r="L89" s="54">
        <f t="shared" ref="L89:N89" si="15">+L13-L52</f>
        <v>0</v>
      </c>
      <c r="N89" s="54">
        <f t="shared" si="15"/>
        <v>0</v>
      </c>
    </row>
    <row r="90" spans="1:14">
      <c r="A90" s="37" t="s">
        <v>39</v>
      </c>
      <c r="B90" s="39">
        <v>761</v>
      </c>
      <c r="C90" s="35">
        <f t="shared" si="9"/>
        <v>154199.95000000001</v>
      </c>
      <c r="D90" s="34"/>
      <c r="E90" s="52">
        <f t="shared" si="13"/>
        <v>27853.09</v>
      </c>
      <c r="F90" s="52">
        <f t="shared" si="13"/>
        <v>0</v>
      </c>
      <c r="G90" s="52">
        <f t="shared" si="13"/>
        <v>0</v>
      </c>
      <c r="H90" s="52">
        <f t="shared" si="13"/>
        <v>0</v>
      </c>
      <c r="I90" s="52">
        <f t="shared" si="13"/>
        <v>0</v>
      </c>
      <c r="J90" s="52">
        <f t="shared" si="13"/>
        <v>114128.73</v>
      </c>
      <c r="K90" s="52">
        <f t="shared" si="13"/>
        <v>6218.13</v>
      </c>
      <c r="L90" s="54">
        <f t="shared" ref="L90:N90" si="16">+L14-L53</f>
        <v>0</v>
      </c>
      <c r="N90" s="54">
        <f t="shared" si="16"/>
        <v>6000</v>
      </c>
    </row>
    <row r="91" spans="1:14">
      <c r="A91" s="37" t="s">
        <v>40</v>
      </c>
      <c r="B91" s="39">
        <v>762</v>
      </c>
      <c r="C91" s="35">
        <f t="shared" si="9"/>
        <v>0</v>
      </c>
      <c r="D91" s="34"/>
      <c r="E91" s="52">
        <f t="shared" si="13"/>
        <v>0</v>
      </c>
      <c r="F91" s="52">
        <f t="shared" si="13"/>
        <v>0</v>
      </c>
      <c r="G91" s="52">
        <f t="shared" si="13"/>
        <v>0</v>
      </c>
      <c r="H91" s="52">
        <f t="shared" si="13"/>
        <v>0</v>
      </c>
      <c r="I91" s="52">
        <f t="shared" si="13"/>
        <v>0</v>
      </c>
      <c r="J91" s="52">
        <f t="shared" si="13"/>
        <v>0</v>
      </c>
      <c r="K91" s="52">
        <f t="shared" si="13"/>
        <v>0</v>
      </c>
      <c r="L91" s="54">
        <f t="shared" ref="L91:N91" si="17">+L15-L54</f>
        <v>0</v>
      </c>
      <c r="N91" s="54">
        <f t="shared" si="17"/>
        <v>0</v>
      </c>
    </row>
    <row r="92" spans="1:14">
      <c r="A92" s="37" t="s">
        <v>41</v>
      </c>
      <c r="B92" s="39">
        <v>765</v>
      </c>
      <c r="C92" s="35">
        <f t="shared" si="9"/>
        <v>6261126.4500000002</v>
      </c>
      <c r="D92" s="34"/>
      <c r="E92" s="52">
        <f t="shared" si="13"/>
        <v>155762.53999999998</v>
      </c>
      <c r="F92" s="52">
        <f t="shared" si="13"/>
        <v>-264472.17000000004</v>
      </c>
      <c r="G92" s="52">
        <f t="shared" si="13"/>
        <v>864.75</v>
      </c>
      <c r="H92" s="52">
        <f t="shared" si="13"/>
        <v>320476.94</v>
      </c>
      <c r="I92" s="52">
        <f t="shared" si="13"/>
        <v>29476.130000000005</v>
      </c>
      <c r="J92" s="52">
        <f t="shared" si="13"/>
        <v>-328833.2200000002</v>
      </c>
      <c r="K92" s="52">
        <f t="shared" si="13"/>
        <v>6214980.5600000005</v>
      </c>
      <c r="L92" s="54">
        <f t="shared" ref="L92:N92" si="18">+L16-L55</f>
        <v>-88827</v>
      </c>
      <c r="N92" s="54">
        <f t="shared" si="18"/>
        <v>221697.91999999993</v>
      </c>
    </row>
    <row r="93" spans="1:14">
      <c r="A93" s="37" t="s">
        <v>42</v>
      </c>
      <c r="B93" s="39">
        <v>766</v>
      </c>
      <c r="C93" s="35">
        <f t="shared" si="9"/>
        <v>70956.240000000005</v>
      </c>
      <c r="D93" s="34"/>
      <c r="E93" s="52">
        <f t="shared" si="13"/>
        <v>-1220</v>
      </c>
      <c r="F93" s="52">
        <f t="shared" si="13"/>
        <v>23298</v>
      </c>
      <c r="G93" s="52">
        <f t="shared" si="13"/>
        <v>38666</v>
      </c>
      <c r="H93" s="52">
        <f t="shared" si="13"/>
        <v>951</v>
      </c>
      <c r="I93" s="52">
        <f t="shared" si="13"/>
        <v>537</v>
      </c>
      <c r="J93" s="52">
        <f t="shared" si="13"/>
        <v>6235.24</v>
      </c>
      <c r="K93" s="52">
        <f t="shared" si="13"/>
        <v>249</v>
      </c>
      <c r="L93" s="54">
        <f t="shared" ref="L93:N93" si="19">+L17-L56</f>
        <v>0</v>
      </c>
      <c r="N93" s="54">
        <f t="shared" si="19"/>
        <v>2240</v>
      </c>
    </row>
    <row r="94" spans="1:14">
      <c r="A94" s="37" t="s">
        <v>43</v>
      </c>
      <c r="B94" s="39">
        <v>767</v>
      </c>
      <c r="C94" s="35">
        <f t="shared" si="9"/>
        <v>39012.950000000026</v>
      </c>
      <c r="D94" s="34"/>
      <c r="E94" s="52">
        <f t="shared" si="13"/>
        <v>-10424</v>
      </c>
      <c r="F94" s="52">
        <f t="shared" si="13"/>
        <v>17083.610000000015</v>
      </c>
      <c r="G94" s="52">
        <f t="shared" si="13"/>
        <v>15545.460000000006</v>
      </c>
      <c r="H94" s="52">
        <f t="shared" si="13"/>
        <v>565.74</v>
      </c>
      <c r="I94" s="52">
        <f t="shared" si="13"/>
        <v>-2186.8799999999992</v>
      </c>
      <c r="J94" s="52">
        <f t="shared" si="13"/>
        <v>-29961.19</v>
      </c>
      <c r="K94" s="52">
        <f t="shared" si="13"/>
        <v>36917.210000000006</v>
      </c>
      <c r="L94" s="54">
        <f t="shared" ref="L94:N94" si="20">+L18-L57</f>
        <v>-1697.22</v>
      </c>
      <c r="N94" s="54">
        <f t="shared" si="20"/>
        <v>13170.220000000001</v>
      </c>
    </row>
    <row r="95" spans="1:14">
      <c r="A95" s="37" t="s">
        <v>44</v>
      </c>
      <c r="B95" s="39">
        <v>768</v>
      </c>
      <c r="C95" s="35">
        <f t="shared" si="9"/>
        <v>0</v>
      </c>
      <c r="D95" s="34"/>
      <c r="E95" s="52">
        <f t="shared" si="13"/>
        <v>0</v>
      </c>
      <c r="F95" s="52">
        <f t="shared" si="13"/>
        <v>0</v>
      </c>
      <c r="G95" s="52">
        <f t="shared" si="13"/>
        <v>0</v>
      </c>
      <c r="H95" s="52">
        <f t="shared" si="13"/>
        <v>0</v>
      </c>
      <c r="I95" s="52">
        <f t="shared" si="13"/>
        <v>0</v>
      </c>
      <c r="J95" s="52">
        <f t="shared" si="13"/>
        <v>0</v>
      </c>
      <c r="K95" s="52">
        <f t="shared" si="13"/>
        <v>0</v>
      </c>
      <c r="L95" s="54">
        <f t="shared" ref="L95:N95" si="21">+L19-L58</f>
        <v>0</v>
      </c>
      <c r="N95" s="54">
        <f t="shared" si="21"/>
        <v>0</v>
      </c>
    </row>
    <row r="96" spans="1:14">
      <c r="A96" s="37" t="s">
        <v>45</v>
      </c>
      <c r="B96" s="39">
        <v>772</v>
      </c>
      <c r="C96" s="35">
        <f t="shared" si="9"/>
        <v>6574.6199999999953</v>
      </c>
      <c r="D96" s="34"/>
      <c r="E96" s="52">
        <f t="shared" si="13"/>
        <v>0</v>
      </c>
      <c r="F96" s="52">
        <f t="shared" si="13"/>
        <v>-714.87999999999738</v>
      </c>
      <c r="G96" s="52">
        <f t="shared" si="13"/>
        <v>0</v>
      </c>
      <c r="H96" s="52">
        <f t="shared" si="13"/>
        <v>0</v>
      </c>
      <c r="I96" s="52">
        <f t="shared" si="13"/>
        <v>0</v>
      </c>
      <c r="J96" s="52">
        <f t="shared" si="13"/>
        <v>-5.6000000000021828</v>
      </c>
      <c r="K96" s="52">
        <f t="shared" si="13"/>
        <v>7295.0999999999949</v>
      </c>
      <c r="L96" s="54">
        <f t="shared" ref="L96:N96" si="22">+L20-L59</f>
        <v>0</v>
      </c>
      <c r="N96" s="54">
        <f t="shared" si="22"/>
        <v>0</v>
      </c>
    </row>
    <row r="97" spans="1:14">
      <c r="A97" s="37" t="s">
        <v>46</v>
      </c>
      <c r="B97" s="39">
        <v>773</v>
      </c>
      <c r="C97" s="35">
        <f t="shared" si="9"/>
        <v>0</v>
      </c>
      <c r="D97" s="34"/>
      <c r="E97" s="52">
        <f t="shared" si="13"/>
        <v>0</v>
      </c>
      <c r="F97" s="52">
        <f t="shared" si="13"/>
        <v>0</v>
      </c>
      <c r="G97" s="52">
        <f t="shared" si="13"/>
        <v>0</v>
      </c>
      <c r="H97" s="52">
        <f t="shared" si="13"/>
        <v>0</v>
      </c>
      <c r="I97" s="52">
        <f t="shared" si="13"/>
        <v>0</v>
      </c>
      <c r="J97" s="52">
        <f t="shared" si="13"/>
        <v>0</v>
      </c>
      <c r="K97" s="52">
        <f t="shared" si="13"/>
        <v>0</v>
      </c>
      <c r="L97" s="54">
        <f t="shared" ref="L97:N97" si="23">+L21-L60</f>
        <v>0</v>
      </c>
      <c r="N97" s="54">
        <f t="shared" si="23"/>
        <v>0</v>
      </c>
    </row>
    <row r="98" spans="1:14">
      <c r="A98" s="37" t="s">
        <v>47</v>
      </c>
      <c r="B98" s="39">
        <v>775</v>
      </c>
      <c r="C98" s="35">
        <f t="shared" si="9"/>
        <v>-8052.8899999999994</v>
      </c>
      <c r="D98" s="34"/>
      <c r="E98" s="52">
        <f t="shared" ref="E98:K104" si="24">+E22-E61</f>
        <v>0</v>
      </c>
      <c r="F98" s="52">
        <f t="shared" si="24"/>
        <v>1250</v>
      </c>
      <c r="G98" s="52">
        <f t="shared" si="24"/>
        <v>-9302.89</v>
      </c>
      <c r="H98" s="52">
        <f t="shared" si="24"/>
        <v>0</v>
      </c>
      <c r="I98" s="52">
        <f t="shared" si="24"/>
        <v>0</v>
      </c>
      <c r="J98" s="52">
        <f t="shared" si="24"/>
        <v>0</v>
      </c>
      <c r="K98" s="52">
        <f t="shared" si="24"/>
        <v>0</v>
      </c>
      <c r="L98" s="54">
        <f t="shared" ref="L98:N98" si="25">+L22-L61</f>
        <v>0</v>
      </c>
      <c r="N98" s="54">
        <f t="shared" si="25"/>
        <v>0</v>
      </c>
    </row>
    <row r="99" spans="1:14">
      <c r="A99" s="37" t="s">
        <v>48</v>
      </c>
      <c r="B99" s="39">
        <v>780</v>
      </c>
      <c r="C99" s="35">
        <f t="shared" si="9"/>
        <v>10000</v>
      </c>
      <c r="D99" s="34"/>
      <c r="E99" s="52">
        <f t="shared" si="24"/>
        <v>0</v>
      </c>
      <c r="F99" s="52">
        <f t="shared" si="24"/>
        <v>0</v>
      </c>
      <c r="G99" s="52">
        <f t="shared" si="24"/>
        <v>0</v>
      </c>
      <c r="H99" s="52">
        <f t="shared" si="24"/>
        <v>0</v>
      </c>
      <c r="I99" s="52">
        <f t="shared" si="24"/>
        <v>0</v>
      </c>
      <c r="J99" s="52">
        <f t="shared" si="24"/>
        <v>0</v>
      </c>
      <c r="K99" s="52">
        <f t="shared" si="24"/>
        <v>0</v>
      </c>
      <c r="L99" s="54">
        <f t="shared" ref="L99:N99" si="26">+L23-L62</f>
        <v>0</v>
      </c>
      <c r="N99" s="54">
        <f t="shared" si="26"/>
        <v>10000</v>
      </c>
    </row>
    <row r="100" spans="1:14">
      <c r="A100" s="37" t="s">
        <v>49</v>
      </c>
      <c r="B100" s="39">
        <v>781</v>
      </c>
      <c r="C100" s="35">
        <f t="shared" si="9"/>
        <v>0</v>
      </c>
      <c r="D100" s="34"/>
      <c r="E100" s="52">
        <f t="shared" si="24"/>
        <v>0</v>
      </c>
      <c r="F100" s="52">
        <f t="shared" si="24"/>
        <v>0</v>
      </c>
      <c r="G100" s="52">
        <f t="shared" si="24"/>
        <v>0</v>
      </c>
      <c r="H100" s="52">
        <f t="shared" si="24"/>
        <v>0</v>
      </c>
      <c r="I100" s="52">
        <f t="shared" si="24"/>
        <v>0</v>
      </c>
      <c r="J100" s="52">
        <f t="shared" si="24"/>
        <v>0</v>
      </c>
      <c r="K100" s="52">
        <f t="shared" si="24"/>
        <v>0</v>
      </c>
      <c r="L100" s="54">
        <f t="shared" ref="L100:N100" si="27">+L24-L63</f>
        <v>0</v>
      </c>
      <c r="N100" s="54">
        <f t="shared" si="27"/>
        <v>0</v>
      </c>
    </row>
    <row r="101" spans="1:14">
      <c r="A101" s="37" t="s">
        <v>50</v>
      </c>
      <c r="B101" s="39">
        <v>782</v>
      </c>
      <c r="C101" s="35">
        <f t="shared" si="9"/>
        <v>141930</v>
      </c>
      <c r="D101" s="34"/>
      <c r="E101" s="52">
        <f t="shared" si="24"/>
        <v>6000</v>
      </c>
      <c r="F101" s="52">
        <f t="shared" si="24"/>
        <v>0</v>
      </c>
      <c r="G101" s="52">
        <f t="shared" si="24"/>
        <v>84480</v>
      </c>
      <c r="H101" s="52">
        <f t="shared" si="24"/>
        <v>6600</v>
      </c>
      <c r="I101" s="52">
        <f t="shared" si="24"/>
        <v>750</v>
      </c>
      <c r="J101" s="52">
        <f t="shared" si="24"/>
        <v>19920</v>
      </c>
      <c r="K101" s="52">
        <f t="shared" si="24"/>
        <v>12180</v>
      </c>
      <c r="L101" s="54">
        <f t="shared" ref="L101:N101" si="28">+L25-L64</f>
        <v>0</v>
      </c>
      <c r="N101" s="54">
        <f t="shared" si="28"/>
        <v>12000</v>
      </c>
    </row>
    <row r="102" spans="1:14">
      <c r="A102" s="37" t="s">
        <v>51</v>
      </c>
      <c r="B102" s="39">
        <v>784</v>
      </c>
      <c r="C102" s="35">
        <f t="shared" si="9"/>
        <v>0</v>
      </c>
      <c r="D102" s="34"/>
      <c r="E102" s="52">
        <f t="shared" si="24"/>
        <v>0</v>
      </c>
      <c r="F102" s="52">
        <f t="shared" si="24"/>
        <v>0</v>
      </c>
      <c r="G102" s="52">
        <f t="shared" si="24"/>
        <v>0</v>
      </c>
      <c r="H102" s="52">
        <f t="shared" si="24"/>
        <v>0</v>
      </c>
      <c r="I102" s="52">
        <f t="shared" si="24"/>
        <v>0</v>
      </c>
      <c r="J102" s="52">
        <f t="shared" si="24"/>
        <v>0</v>
      </c>
      <c r="K102" s="52">
        <f t="shared" si="24"/>
        <v>0</v>
      </c>
      <c r="L102" s="54">
        <f t="shared" ref="L102:N102" si="29">+L26-L65</f>
        <v>0</v>
      </c>
      <c r="N102" s="54">
        <f t="shared" si="29"/>
        <v>0</v>
      </c>
    </row>
    <row r="103" spans="1:14">
      <c r="A103" s="37" t="s">
        <v>52</v>
      </c>
      <c r="B103" s="39">
        <v>815</v>
      </c>
      <c r="C103" s="35">
        <f t="shared" si="9"/>
        <v>-32724.6</v>
      </c>
      <c r="D103" s="34"/>
      <c r="E103" s="52">
        <f t="shared" si="24"/>
        <v>0</v>
      </c>
      <c r="F103" s="52">
        <f t="shared" si="24"/>
        <v>0</v>
      </c>
      <c r="G103" s="52">
        <f t="shared" si="24"/>
        <v>-60724.6</v>
      </c>
      <c r="H103" s="52">
        <f t="shared" si="24"/>
        <v>0</v>
      </c>
      <c r="I103" s="52">
        <f t="shared" si="24"/>
        <v>0</v>
      </c>
      <c r="J103" s="52">
        <f t="shared" si="24"/>
        <v>0</v>
      </c>
      <c r="K103" s="52">
        <f t="shared" si="24"/>
        <v>0</v>
      </c>
      <c r="L103" s="54">
        <f t="shared" ref="L103:N103" si="30">+L27-L66</f>
        <v>0</v>
      </c>
      <c r="N103" s="54">
        <f t="shared" si="30"/>
        <v>28000</v>
      </c>
    </row>
    <row r="104" spans="1:14">
      <c r="A104" s="37" t="s">
        <v>53</v>
      </c>
      <c r="B104" s="39">
        <v>826</v>
      </c>
      <c r="C104" s="35">
        <f t="shared" si="9"/>
        <v>12157.95</v>
      </c>
      <c r="D104" s="34"/>
      <c r="E104" s="52">
        <f t="shared" si="24"/>
        <v>0</v>
      </c>
      <c r="F104" s="52">
        <f t="shared" si="24"/>
        <v>0</v>
      </c>
      <c r="G104" s="52">
        <f t="shared" si="24"/>
        <v>5000</v>
      </c>
      <c r="H104" s="52">
        <f t="shared" si="24"/>
        <v>0</v>
      </c>
      <c r="I104" s="52">
        <f t="shared" si="24"/>
        <v>0</v>
      </c>
      <c r="J104" s="52">
        <f t="shared" si="24"/>
        <v>5657.9500000000007</v>
      </c>
      <c r="K104" s="52">
        <f t="shared" si="24"/>
        <v>1500</v>
      </c>
      <c r="L104" s="54">
        <f t="shared" ref="L104:N104" si="31">+L28-L67</f>
        <v>0</v>
      </c>
      <c r="N104" s="54">
        <f t="shared" si="31"/>
        <v>0</v>
      </c>
    </row>
    <row r="105" spans="1:14">
      <c r="A105" s="37" t="s">
        <v>62</v>
      </c>
      <c r="B105" s="39">
        <v>841</v>
      </c>
      <c r="C105" s="35">
        <f t="shared" si="9"/>
        <v>0</v>
      </c>
      <c r="D105" s="34"/>
      <c r="E105" s="52">
        <f t="shared" ref="E105:H105" si="32">+E29-E68</f>
        <v>0</v>
      </c>
      <c r="F105" s="52">
        <f t="shared" si="32"/>
        <v>0</v>
      </c>
      <c r="G105" s="52">
        <f t="shared" si="32"/>
        <v>0</v>
      </c>
      <c r="H105" s="52">
        <f t="shared" si="32"/>
        <v>0</v>
      </c>
      <c r="I105" s="52">
        <f t="shared" ref="I105:K105" si="33">+I29-I68</f>
        <v>0</v>
      </c>
      <c r="J105" s="52">
        <f t="shared" si="33"/>
        <v>0</v>
      </c>
      <c r="K105" s="52">
        <f t="shared" si="33"/>
        <v>0</v>
      </c>
      <c r="L105" s="54">
        <f t="shared" ref="L105:N105" si="34">+L29-L68</f>
        <v>0</v>
      </c>
      <c r="N105" s="54">
        <f t="shared" si="34"/>
        <v>0</v>
      </c>
    </row>
    <row r="106" spans="1:14" ht="14.25" customHeight="1">
      <c r="A106" s="37" t="s">
        <v>54</v>
      </c>
      <c r="B106" s="39">
        <v>892</v>
      </c>
      <c r="C106" s="35">
        <f t="shared" si="9"/>
        <v>0</v>
      </c>
      <c r="D106" s="34"/>
      <c r="E106" s="52">
        <f t="shared" ref="E106:K107" si="35">+E30-E69</f>
        <v>0</v>
      </c>
      <c r="F106" s="52">
        <f t="shared" si="35"/>
        <v>0</v>
      </c>
      <c r="G106" s="52">
        <f t="shared" si="35"/>
        <v>0</v>
      </c>
      <c r="H106" s="52">
        <f t="shared" si="35"/>
        <v>0</v>
      </c>
      <c r="I106" s="52">
        <f t="shared" si="35"/>
        <v>0</v>
      </c>
      <c r="J106" s="52">
        <f t="shared" si="35"/>
        <v>0</v>
      </c>
      <c r="K106" s="52">
        <f t="shared" si="35"/>
        <v>0</v>
      </c>
      <c r="L106" s="54">
        <f t="shared" ref="L106:N106" si="36">+L30-L69</f>
        <v>0</v>
      </c>
      <c r="N106" s="54">
        <f t="shared" si="36"/>
        <v>0</v>
      </c>
    </row>
    <row r="107" spans="1:14">
      <c r="A107" s="37" t="s">
        <v>55</v>
      </c>
      <c r="B107" s="39">
        <v>969</v>
      </c>
      <c r="C107" s="35">
        <f t="shared" si="9"/>
        <v>-239554.96000000002</v>
      </c>
      <c r="D107" s="34"/>
      <c r="E107" s="52">
        <f t="shared" si="35"/>
        <v>-127531.48</v>
      </c>
      <c r="F107" s="52">
        <f t="shared" si="35"/>
        <v>27259.619999999995</v>
      </c>
      <c r="G107" s="52">
        <f t="shared" si="35"/>
        <v>-216414.86</v>
      </c>
      <c r="H107" s="52">
        <f t="shared" si="35"/>
        <v>-150983.83000000002</v>
      </c>
      <c r="I107" s="52">
        <f t="shared" si="35"/>
        <v>-107178.45</v>
      </c>
      <c r="J107" s="52">
        <f t="shared" si="35"/>
        <v>32567.21</v>
      </c>
      <c r="K107" s="52">
        <f t="shared" si="35"/>
        <v>98106.58</v>
      </c>
      <c r="L107" s="54">
        <f t="shared" ref="L107:N107" si="37">+L31-L70</f>
        <v>-7793.53</v>
      </c>
      <c r="N107" s="54">
        <f t="shared" si="37"/>
        <v>212413.78000000003</v>
      </c>
    </row>
    <row r="108" spans="1:14" ht="3.75" customHeight="1">
      <c r="A108" s="37"/>
      <c r="B108" s="38"/>
      <c r="C108" s="38"/>
      <c r="D108" s="38"/>
      <c r="E108" s="52"/>
      <c r="F108" s="52"/>
      <c r="G108" s="52"/>
      <c r="H108" s="52"/>
      <c r="I108" s="52"/>
      <c r="J108" s="52"/>
      <c r="K108" s="52"/>
      <c r="L108" s="54"/>
      <c r="N108" s="54"/>
    </row>
    <row r="109" spans="1:14" ht="15.75" thickBot="1">
      <c r="A109" s="44" t="s">
        <v>4</v>
      </c>
      <c r="B109" s="45"/>
      <c r="C109" s="46">
        <f>SUM(C85:C108)</f>
        <v>6438579.1800000016</v>
      </c>
      <c r="D109" s="46"/>
      <c r="E109" s="47">
        <f t="shared" ref="E109:J109" si="38">SUM(E85:E107)</f>
        <v>50998.89999999998</v>
      </c>
      <c r="F109" s="47">
        <f t="shared" si="38"/>
        <v>-186230.03000000003</v>
      </c>
      <c r="G109" s="47">
        <f t="shared" si="38"/>
        <v>-134136.13999999998</v>
      </c>
      <c r="H109" s="47">
        <f t="shared" si="38"/>
        <v>137319.18</v>
      </c>
      <c r="I109" s="47">
        <f t="shared" si="38"/>
        <v>-76412.919999999984</v>
      </c>
      <c r="J109" s="47">
        <f t="shared" si="38"/>
        <v>-178039.61000000022</v>
      </c>
      <c r="K109" s="47">
        <f t="shared" ref="K109:L109" si="39">SUM(K85:K107)</f>
        <v>6401232.1299999999</v>
      </c>
      <c r="L109" s="48">
        <f t="shared" si="39"/>
        <v>-98899.5</v>
      </c>
      <c r="N109" s="48">
        <f t="shared" ref="N109" si="40">SUM(N85:N107)</f>
        <v>522747.16999999993</v>
      </c>
    </row>
    <row r="110" spans="1:14">
      <c r="C110" s="84"/>
    </row>
  </sheetData>
  <mergeCells count="10">
    <mergeCell ref="A43:N43"/>
    <mergeCell ref="A81:N81"/>
    <mergeCell ref="A79:N79"/>
    <mergeCell ref="A80:N80"/>
    <mergeCell ref="A1:N1"/>
    <mergeCell ref="A2:N2"/>
    <mergeCell ref="A3:N3"/>
    <mergeCell ref="A4:N4"/>
    <mergeCell ref="A41:N41"/>
    <mergeCell ref="A42:N42"/>
  </mergeCells>
  <pageMargins left="0" right="0.17" top="0.25" bottom="0.66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8"/>
  <sheetViews>
    <sheetView topLeftCell="A46" workbookViewId="0">
      <selection activeCell="V68" sqref="V68"/>
    </sheetView>
  </sheetViews>
  <sheetFormatPr defaultRowHeight="15"/>
  <cols>
    <col min="1" max="1" width="30.7109375" customWidth="1"/>
    <col min="2" max="2" width="7" customWidth="1"/>
    <col min="3" max="3" width="14" customWidth="1"/>
    <col min="4" max="4" width="0.42578125" customWidth="1"/>
    <col min="5" max="5" width="11.28515625" customWidth="1"/>
    <col min="6" max="6" width="13.140625" customWidth="1"/>
    <col min="7" max="7" width="11.140625" customWidth="1"/>
    <col min="8" max="8" width="12" customWidth="1"/>
    <col min="9" max="9" width="10.5703125" customWidth="1"/>
    <col min="10" max="10" width="10.85546875" customWidth="1"/>
    <col min="11" max="11" width="12.7109375" customWidth="1"/>
    <col min="12" max="12" width="0.28515625" customWidth="1"/>
    <col min="13" max="13" width="9.140625" hidden="1" customWidth="1"/>
    <col min="14" max="14" width="10.5703125" customWidth="1"/>
    <col min="15" max="15" width="10.42578125" customWidth="1"/>
  </cols>
  <sheetData>
    <row r="1" spans="1:15" ht="15.75">
      <c r="A1" s="152" t="s">
        <v>12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.75">
      <c r="A2" s="152" t="s">
        <v>63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 ht="15.75">
      <c r="A3" s="146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ht="16.5" thickBot="1">
      <c r="A4" s="159" t="s">
        <v>88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5">
      <c r="A5" s="121" t="s">
        <v>1</v>
      </c>
      <c r="B5" s="112" t="s">
        <v>2</v>
      </c>
      <c r="C5" s="112" t="s">
        <v>4</v>
      </c>
      <c r="D5" s="112"/>
      <c r="E5" s="112" t="s">
        <v>13</v>
      </c>
      <c r="F5" s="112" t="s">
        <v>56</v>
      </c>
      <c r="G5" s="112" t="s">
        <v>14</v>
      </c>
      <c r="H5" s="112" t="s">
        <v>15</v>
      </c>
      <c r="I5" s="112" t="s">
        <v>17</v>
      </c>
      <c r="J5" s="119" t="s">
        <v>18</v>
      </c>
      <c r="K5" s="119" t="s">
        <v>67</v>
      </c>
      <c r="L5" s="128"/>
      <c r="M5" s="128"/>
      <c r="N5" s="119" t="s">
        <v>73</v>
      </c>
      <c r="O5" s="119" t="s">
        <v>83</v>
      </c>
    </row>
    <row r="6" spans="1:15" ht="15.75" thickBot="1">
      <c r="A6" s="114"/>
      <c r="B6" s="115"/>
      <c r="C6" s="123"/>
      <c r="D6" s="115"/>
      <c r="E6" s="116"/>
      <c r="F6" s="116" t="s">
        <v>57</v>
      </c>
      <c r="G6" s="116"/>
      <c r="H6" s="116" t="s">
        <v>16</v>
      </c>
      <c r="I6" s="116"/>
      <c r="J6" s="120"/>
      <c r="K6" s="120"/>
      <c r="L6" s="129"/>
      <c r="M6" s="129"/>
      <c r="N6" s="120" t="s">
        <v>85</v>
      </c>
      <c r="O6" s="120" t="s">
        <v>84</v>
      </c>
    </row>
    <row r="7" spans="1:15">
      <c r="A7" s="5"/>
      <c r="B7" s="6"/>
      <c r="C7" s="6"/>
      <c r="D7" s="6"/>
      <c r="E7" s="7"/>
      <c r="F7" s="7"/>
      <c r="G7" s="7"/>
      <c r="H7" s="7"/>
      <c r="I7" s="7"/>
      <c r="J7" s="61"/>
      <c r="K7" s="61"/>
      <c r="N7" s="61"/>
      <c r="O7" s="61"/>
    </row>
    <row r="8" spans="1:15">
      <c r="A8" s="37" t="s">
        <v>64</v>
      </c>
      <c r="B8" s="39">
        <v>223</v>
      </c>
      <c r="C8" s="34">
        <f>SUM(E8:K8)</f>
        <v>445500</v>
      </c>
      <c r="D8" s="34"/>
      <c r="E8" s="52"/>
      <c r="F8" s="52">
        <v>36500</v>
      </c>
      <c r="G8" s="52">
        <v>30000</v>
      </c>
      <c r="H8" s="52">
        <v>29000</v>
      </c>
      <c r="I8" s="52"/>
      <c r="J8" s="54"/>
      <c r="K8" s="54">
        <v>350000</v>
      </c>
      <c r="N8" s="54"/>
      <c r="O8" s="54">
        <v>50000</v>
      </c>
    </row>
    <row r="9" spans="1:15">
      <c r="A9" s="37" t="s">
        <v>65</v>
      </c>
      <c r="B9" s="39">
        <v>222</v>
      </c>
      <c r="C9" s="34">
        <f>SUM(E9:K9)</f>
        <v>245300</v>
      </c>
      <c r="D9" s="34"/>
      <c r="E9" s="52"/>
      <c r="F9" s="52">
        <v>211150</v>
      </c>
      <c r="G9" s="52">
        <v>34150</v>
      </c>
      <c r="H9" s="52"/>
      <c r="I9" s="52"/>
      <c r="J9" s="54"/>
      <c r="K9" s="54"/>
      <c r="N9" s="54"/>
      <c r="O9" s="54"/>
    </row>
    <row r="10" spans="1:15">
      <c r="A10" s="37" t="s">
        <v>66</v>
      </c>
      <c r="B10" s="39">
        <v>226</v>
      </c>
      <c r="C10" s="34">
        <f t="shared" ref="C10" si="0">SUM(E10:J10)</f>
        <v>0</v>
      </c>
      <c r="D10" s="34"/>
      <c r="E10" s="52"/>
      <c r="F10" s="52"/>
      <c r="G10" s="52"/>
      <c r="H10" s="52"/>
      <c r="I10" s="52"/>
      <c r="J10" s="54"/>
      <c r="K10" s="54"/>
      <c r="N10" s="54"/>
      <c r="O10" s="54"/>
    </row>
    <row r="11" spans="1:15">
      <c r="A11" s="37"/>
      <c r="B11" s="39"/>
      <c r="C11" s="34"/>
      <c r="D11" s="34"/>
      <c r="E11" s="52"/>
      <c r="F11" s="52"/>
      <c r="G11" s="52"/>
      <c r="H11" s="52"/>
      <c r="I11" s="52"/>
      <c r="J11" s="54"/>
      <c r="K11" s="54"/>
      <c r="N11" s="54"/>
      <c r="O11" s="54"/>
    </row>
    <row r="12" spans="1:15">
      <c r="A12" s="37"/>
      <c r="B12" s="39"/>
      <c r="C12" s="34"/>
      <c r="D12" s="34"/>
      <c r="E12" s="52"/>
      <c r="F12" s="52"/>
      <c r="G12" s="52"/>
      <c r="H12" s="52"/>
      <c r="I12" s="52"/>
      <c r="J12" s="54"/>
      <c r="K12" s="54"/>
      <c r="N12" s="54"/>
      <c r="O12" s="54"/>
    </row>
    <row r="13" spans="1:15">
      <c r="A13" s="37"/>
      <c r="B13" s="39"/>
      <c r="C13" s="34"/>
      <c r="D13" s="34"/>
      <c r="E13" s="52"/>
      <c r="F13" s="52"/>
      <c r="G13" s="52"/>
      <c r="H13" s="52"/>
      <c r="I13" s="52"/>
      <c r="J13" s="54"/>
      <c r="K13" s="54"/>
      <c r="N13" s="54"/>
      <c r="O13" s="54"/>
    </row>
    <row r="14" spans="1:15">
      <c r="A14" s="37"/>
      <c r="B14" s="39"/>
      <c r="C14" s="34"/>
      <c r="D14" s="34"/>
      <c r="E14" s="52"/>
      <c r="F14" s="52"/>
      <c r="G14" s="52"/>
      <c r="H14" s="52"/>
      <c r="I14" s="52"/>
      <c r="J14" s="54"/>
      <c r="K14" s="54"/>
      <c r="N14" s="54"/>
      <c r="O14" s="54"/>
    </row>
    <row r="15" spans="1:15">
      <c r="A15" s="37"/>
      <c r="B15" s="39"/>
      <c r="C15" s="34"/>
      <c r="D15" s="34"/>
      <c r="E15" s="52"/>
      <c r="F15" s="52"/>
      <c r="G15" s="52"/>
      <c r="H15" s="52"/>
      <c r="I15" s="52"/>
      <c r="J15" s="54"/>
      <c r="K15" s="54"/>
      <c r="N15" s="54"/>
      <c r="O15" s="54"/>
    </row>
    <row r="16" spans="1:15">
      <c r="A16" s="37"/>
      <c r="B16" s="39"/>
      <c r="C16" s="34"/>
      <c r="D16" s="34"/>
      <c r="E16" s="52"/>
      <c r="F16" s="52"/>
      <c r="G16" s="52"/>
      <c r="H16" s="52"/>
      <c r="I16" s="52"/>
      <c r="J16" s="54"/>
      <c r="K16" s="54"/>
      <c r="N16" s="54"/>
      <c r="O16" s="54"/>
    </row>
    <row r="17" spans="1:15">
      <c r="A17" s="37"/>
      <c r="B17" s="39"/>
      <c r="C17" s="34"/>
      <c r="D17" s="34"/>
      <c r="E17" s="52"/>
      <c r="F17" s="52"/>
      <c r="G17" s="52"/>
      <c r="H17" s="52"/>
      <c r="I17" s="52"/>
      <c r="J17" s="54"/>
      <c r="K17" s="54"/>
      <c r="N17" s="54"/>
      <c r="O17" s="54"/>
    </row>
    <row r="18" spans="1:15">
      <c r="A18" s="37"/>
      <c r="B18" s="39"/>
      <c r="C18" s="34"/>
      <c r="D18" s="34"/>
      <c r="E18" s="52"/>
      <c r="F18" s="52"/>
      <c r="G18" s="52"/>
      <c r="H18" s="52"/>
      <c r="I18" s="52"/>
      <c r="J18" s="54"/>
      <c r="K18" s="54"/>
      <c r="N18" s="54"/>
      <c r="O18" s="54"/>
    </row>
    <row r="19" spans="1:15">
      <c r="A19" s="37"/>
      <c r="B19" s="39"/>
      <c r="C19" s="34"/>
      <c r="D19" s="34"/>
      <c r="E19" s="52"/>
      <c r="F19" s="52"/>
      <c r="G19" s="52"/>
      <c r="H19" s="52"/>
      <c r="I19" s="52"/>
      <c r="J19" s="54"/>
      <c r="K19" s="54"/>
      <c r="N19" s="54"/>
      <c r="O19" s="54"/>
    </row>
    <row r="20" spans="1:15">
      <c r="A20" s="37"/>
      <c r="B20" s="39"/>
      <c r="C20" s="34"/>
      <c r="D20" s="34"/>
      <c r="E20" s="52"/>
      <c r="F20" s="52"/>
      <c r="G20" s="52"/>
      <c r="H20" s="52"/>
      <c r="I20" s="52"/>
      <c r="J20" s="54"/>
      <c r="K20" s="54"/>
      <c r="N20" s="54"/>
      <c r="O20" s="54"/>
    </row>
    <row r="21" spans="1:15">
      <c r="A21" s="37"/>
      <c r="B21" s="39"/>
      <c r="C21" s="34"/>
      <c r="D21" s="34"/>
      <c r="E21" s="52"/>
      <c r="F21" s="52"/>
      <c r="G21" s="52"/>
      <c r="H21" s="52"/>
      <c r="I21" s="52"/>
      <c r="J21" s="54"/>
      <c r="K21" s="54"/>
      <c r="N21" s="54"/>
      <c r="O21" s="54"/>
    </row>
    <row r="22" spans="1:15">
      <c r="A22" s="37"/>
      <c r="B22" s="39"/>
      <c r="C22" s="34"/>
      <c r="D22" s="34"/>
      <c r="E22" s="52"/>
      <c r="F22" s="52"/>
      <c r="G22" s="52"/>
      <c r="H22" s="52"/>
      <c r="I22" s="52"/>
      <c r="J22" s="54"/>
      <c r="K22" s="54"/>
      <c r="N22" s="54"/>
      <c r="O22" s="54"/>
    </row>
    <row r="23" spans="1:15">
      <c r="A23" s="37"/>
      <c r="B23" s="39"/>
      <c r="C23" s="34"/>
      <c r="D23" s="34"/>
      <c r="E23" s="52"/>
      <c r="F23" s="52"/>
      <c r="G23" s="52"/>
      <c r="H23" s="52"/>
      <c r="I23" s="52"/>
      <c r="J23" s="54"/>
      <c r="K23" s="54"/>
      <c r="N23" s="54"/>
      <c r="O23" s="54"/>
    </row>
    <row r="24" spans="1:15">
      <c r="A24" s="37"/>
      <c r="B24" s="39"/>
      <c r="C24" s="34"/>
      <c r="D24" s="34"/>
      <c r="E24" s="52"/>
      <c r="F24" s="52"/>
      <c r="G24" s="52"/>
      <c r="H24" s="52"/>
      <c r="I24" s="52"/>
      <c r="J24" s="54"/>
      <c r="K24" s="54"/>
      <c r="N24" s="54"/>
      <c r="O24" s="54"/>
    </row>
    <row r="25" spans="1:15">
      <c r="A25" s="37"/>
      <c r="B25" s="39"/>
      <c r="C25" s="34"/>
      <c r="D25" s="34"/>
      <c r="E25" s="52"/>
      <c r="F25" s="52"/>
      <c r="G25" s="52"/>
      <c r="H25" s="52"/>
      <c r="I25" s="52"/>
      <c r="J25" s="54"/>
      <c r="K25" s="54"/>
      <c r="N25" s="54"/>
      <c r="O25" s="54"/>
    </row>
    <row r="26" spans="1:15">
      <c r="A26" s="37"/>
      <c r="B26" s="39"/>
      <c r="C26" s="34"/>
      <c r="D26" s="34"/>
      <c r="E26" s="52"/>
      <c r="F26" s="52"/>
      <c r="G26" s="52"/>
      <c r="H26" s="52"/>
      <c r="I26" s="52"/>
      <c r="J26" s="54"/>
      <c r="K26" s="54"/>
      <c r="N26" s="54"/>
      <c r="O26" s="54"/>
    </row>
    <row r="27" spans="1:15">
      <c r="A27" s="37"/>
      <c r="B27" s="39"/>
      <c r="C27" s="34"/>
      <c r="D27" s="34"/>
      <c r="E27" s="52"/>
      <c r="F27" s="52"/>
      <c r="G27" s="52"/>
      <c r="H27" s="52"/>
      <c r="I27" s="52"/>
      <c r="J27" s="54"/>
      <c r="K27" s="54"/>
      <c r="N27" s="54"/>
      <c r="O27" s="54"/>
    </row>
    <row r="28" spans="1:15" ht="15.75" thickBot="1">
      <c r="A28" s="44"/>
      <c r="B28" s="45"/>
      <c r="C28" s="45"/>
      <c r="D28" s="45"/>
      <c r="E28" s="47"/>
      <c r="F28" s="47"/>
      <c r="G28" s="47"/>
      <c r="H28" s="47"/>
      <c r="I28" s="47"/>
      <c r="J28" s="48"/>
      <c r="K28" s="48"/>
      <c r="N28" s="48"/>
      <c r="O28" s="48"/>
    </row>
    <row r="29" spans="1:15" ht="15.75" thickBot="1">
      <c r="A29" s="62" t="s">
        <v>4</v>
      </c>
      <c r="B29" s="63"/>
      <c r="C29" s="64">
        <f>SUM(C8:C28)</f>
        <v>690800</v>
      </c>
      <c r="D29" s="64"/>
      <c r="E29" s="65">
        <f t="shared" ref="E29:J29" si="1">SUM(E8:E27)</f>
        <v>0</v>
      </c>
      <c r="F29" s="65">
        <f t="shared" si="1"/>
        <v>247650</v>
      </c>
      <c r="G29" s="65">
        <f t="shared" si="1"/>
        <v>64150</v>
      </c>
      <c r="H29" s="65">
        <f t="shared" si="1"/>
        <v>29000</v>
      </c>
      <c r="I29" s="65">
        <f t="shared" si="1"/>
        <v>0</v>
      </c>
      <c r="J29" s="66">
        <f t="shared" si="1"/>
        <v>0</v>
      </c>
      <c r="K29" s="66">
        <f t="shared" ref="K29" si="2">SUM(K8:K27)</f>
        <v>350000</v>
      </c>
      <c r="N29" s="66">
        <f t="shared" ref="N29:O29" si="3">SUM(N8:N27)</f>
        <v>0</v>
      </c>
      <c r="O29" s="66">
        <f t="shared" si="3"/>
        <v>50000</v>
      </c>
    </row>
    <row r="30" spans="1:15">
      <c r="A30" s="29"/>
      <c r="B30" s="29"/>
      <c r="C30" s="30"/>
      <c r="D30" s="29"/>
      <c r="E30" s="29"/>
      <c r="F30" s="29"/>
      <c r="G30" s="29"/>
      <c r="H30" s="29"/>
      <c r="I30" s="29"/>
      <c r="J30" s="29"/>
    </row>
    <row r="31" spans="1:15">
      <c r="A31" s="29"/>
      <c r="B31" s="29"/>
      <c r="C31" s="29"/>
      <c r="D31" s="29"/>
      <c r="E31" s="29"/>
      <c r="F31" s="29"/>
      <c r="G31" s="29"/>
      <c r="H31" s="29"/>
      <c r="I31" s="29"/>
      <c r="J31" s="29"/>
    </row>
    <row r="32" spans="1:15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5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5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5">
      <c r="A35" s="29"/>
      <c r="B35" s="29"/>
      <c r="C35" s="29"/>
      <c r="D35" s="29"/>
      <c r="E35" s="29"/>
      <c r="F35" s="29"/>
      <c r="G35" s="29"/>
      <c r="H35" s="29"/>
      <c r="I35" s="29"/>
      <c r="J35" s="29"/>
    </row>
    <row r="36" spans="1:15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5" ht="15.75">
      <c r="A37" s="152" t="s">
        <v>12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</row>
    <row r="38" spans="1:15" ht="15.75">
      <c r="A38" s="152" t="s">
        <v>63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</row>
    <row r="39" spans="1:15" ht="15.75">
      <c r="A39" s="146" t="s">
        <v>5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</row>
    <row r="40" spans="1:15" ht="16.5" thickBot="1">
      <c r="A40" s="159" t="s">
        <v>88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</row>
    <row r="41" spans="1:15">
      <c r="A41" s="121" t="s">
        <v>1</v>
      </c>
      <c r="B41" s="112" t="s">
        <v>2</v>
      </c>
      <c r="C41" s="112" t="s">
        <v>4</v>
      </c>
      <c r="D41" s="112"/>
      <c r="E41" s="112" t="s">
        <v>13</v>
      </c>
      <c r="F41" s="112" t="s">
        <v>56</v>
      </c>
      <c r="G41" s="112" t="s">
        <v>14</v>
      </c>
      <c r="H41" s="112" t="s">
        <v>15</v>
      </c>
      <c r="I41" s="112" t="s">
        <v>17</v>
      </c>
      <c r="J41" s="112" t="s">
        <v>18</v>
      </c>
      <c r="K41" s="112" t="s">
        <v>67</v>
      </c>
      <c r="L41" s="122"/>
      <c r="M41" s="122"/>
      <c r="N41" s="119" t="s">
        <v>73</v>
      </c>
      <c r="O41" s="119" t="s">
        <v>83</v>
      </c>
    </row>
    <row r="42" spans="1:15" ht="15.75" thickBot="1">
      <c r="A42" s="114"/>
      <c r="B42" s="115"/>
      <c r="C42" s="115"/>
      <c r="D42" s="115"/>
      <c r="E42" s="116"/>
      <c r="F42" s="116" t="s">
        <v>57</v>
      </c>
      <c r="G42" s="116"/>
      <c r="H42" s="116" t="s">
        <v>16</v>
      </c>
      <c r="I42" s="116"/>
      <c r="J42" s="116"/>
      <c r="K42" s="116"/>
      <c r="L42" s="122"/>
      <c r="M42" s="122"/>
      <c r="N42" s="120" t="s">
        <v>85</v>
      </c>
      <c r="O42" s="120" t="s">
        <v>84</v>
      </c>
    </row>
    <row r="43" spans="1:15">
      <c r="A43" s="12"/>
      <c r="B43" s="13"/>
      <c r="C43" s="13"/>
      <c r="D43" s="13"/>
      <c r="E43" s="25"/>
      <c r="F43" s="25"/>
      <c r="G43" s="25"/>
      <c r="H43" s="25"/>
      <c r="I43" s="25"/>
      <c r="J43" s="25"/>
      <c r="K43" s="25"/>
      <c r="N43" s="25"/>
      <c r="O43" s="25"/>
    </row>
    <row r="44" spans="1:15">
      <c r="A44" s="37" t="s">
        <v>64</v>
      </c>
      <c r="B44" s="39">
        <v>223</v>
      </c>
      <c r="C44" s="34">
        <f>SUM(E44:J44)</f>
        <v>22338.3</v>
      </c>
      <c r="D44" s="34"/>
      <c r="E44" s="52"/>
      <c r="F44" s="52"/>
      <c r="G44" s="52"/>
      <c r="H44" s="52">
        <v>22338.3</v>
      </c>
      <c r="I44" s="52"/>
      <c r="J44" s="52"/>
      <c r="K44" s="52"/>
      <c r="N44" s="52"/>
      <c r="O44" s="52"/>
    </row>
    <row r="45" spans="1:15">
      <c r="A45" s="37" t="s">
        <v>65</v>
      </c>
      <c r="B45" s="39">
        <v>222</v>
      </c>
      <c r="C45" s="34">
        <f t="shared" ref="C45:C46" si="4">SUM(E45:J45)</f>
        <v>0</v>
      </c>
      <c r="D45" s="34"/>
      <c r="E45" s="52"/>
      <c r="F45" s="52"/>
      <c r="G45" s="52"/>
      <c r="H45" s="52"/>
      <c r="I45" s="52"/>
      <c r="J45" s="52"/>
      <c r="K45" s="52"/>
      <c r="N45" s="52"/>
      <c r="O45" s="52"/>
    </row>
    <row r="46" spans="1:15">
      <c r="A46" s="37" t="s">
        <v>66</v>
      </c>
      <c r="B46" s="39">
        <v>226</v>
      </c>
      <c r="C46" s="34">
        <f t="shared" si="4"/>
        <v>0</v>
      </c>
      <c r="D46" s="34"/>
      <c r="E46" s="52"/>
      <c r="F46" s="52"/>
      <c r="G46" s="52"/>
      <c r="H46" s="52"/>
      <c r="I46" s="52"/>
      <c r="J46" s="52"/>
      <c r="K46" s="52"/>
      <c r="N46" s="52"/>
      <c r="O46" s="52"/>
    </row>
    <row r="47" spans="1:15">
      <c r="A47" s="37"/>
      <c r="B47" s="39"/>
      <c r="C47" s="34"/>
      <c r="D47" s="34"/>
      <c r="E47" s="52"/>
      <c r="F47" s="52"/>
      <c r="G47" s="52"/>
      <c r="H47" s="52"/>
      <c r="I47" s="52"/>
      <c r="J47" s="52"/>
      <c r="K47" s="52"/>
      <c r="N47" s="52"/>
      <c r="O47" s="52"/>
    </row>
    <row r="48" spans="1:15">
      <c r="A48" s="37"/>
      <c r="B48" s="39"/>
      <c r="C48" s="34"/>
      <c r="D48" s="34"/>
      <c r="E48" s="52"/>
      <c r="F48" s="52"/>
      <c r="G48" s="52"/>
      <c r="H48" s="52"/>
      <c r="I48" s="52"/>
      <c r="J48" s="52"/>
      <c r="K48" s="52"/>
      <c r="N48" s="52"/>
      <c r="O48" s="52"/>
    </row>
    <row r="49" spans="1:15">
      <c r="A49" s="37"/>
      <c r="B49" s="39"/>
      <c r="C49" s="34"/>
      <c r="D49" s="34"/>
      <c r="E49" s="52"/>
      <c r="F49" s="52"/>
      <c r="G49" s="52"/>
      <c r="H49" s="52"/>
      <c r="I49" s="52"/>
      <c r="J49" s="52"/>
      <c r="K49" s="52"/>
      <c r="N49" s="52"/>
      <c r="O49" s="52"/>
    </row>
    <row r="50" spans="1:15">
      <c r="A50" s="37"/>
      <c r="B50" s="39"/>
      <c r="C50" s="34"/>
      <c r="D50" s="34"/>
      <c r="E50" s="52"/>
      <c r="F50" s="52"/>
      <c r="G50" s="52"/>
      <c r="H50" s="52"/>
      <c r="I50" s="52"/>
      <c r="J50" s="52"/>
      <c r="K50" s="52"/>
      <c r="N50" s="52"/>
      <c r="O50" s="52"/>
    </row>
    <row r="51" spans="1:15">
      <c r="A51" s="37"/>
      <c r="B51" s="39"/>
      <c r="C51" s="34"/>
      <c r="D51" s="34"/>
      <c r="E51" s="52"/>
      <c r="F51" s="52"/>
      <c r="G51" s="52"/>
      <c r="H51" s="52"/>
      <c r="I51" s="52"/>
      <c r="J51" s="52"/>
      <c r="K51" s="52"/>
      <c r="N51" s="52"/>
      <c r="O51" s="52"/>
    </row>
    <row r="52" spans="1:15">
      <c r="A52" s="37"/>
      <c r="B52" s="39"/>
      <c r="C52" s="34"/>
      <c r="D52" s="34"/>
      <c r="E52" s="52"/>
      <c r="F52" s="52"/>
      <c r="G52" s="52"/>
      <c r="H52" s="52"/>
      <c r="I52" s="52"/>
      <c r="J52" s="52"/>
      <c r="K52" s="52"/>
      <c r="N52" s="52"/>
      <c r="O52" s="52"/>
    </row>
    <row r="53" spans="1:15">
      <c r="A53" s="37"/>
      <c r="B53" s="39"/>
      <c r="C53" s="34"/>
      <c r="D53" s="34"/>
      <c r="E53" s="52"/>
      <c r="F53" s="52"/>
      <c r="G53" s="52"/>
      <c r="H53" s="52"/>
      <c r="I53" s="52"/>
      <c r="J53" s="52"/>
      <c r="K53" s="52"/>
      <c r="N53" s="52"/>
      <c r="O53" s="52"/>
    </row>
    <row r="54" spans="1:15">
      <c r="A54" s="37"/>
      <c r="B54" s="39"/>
      <c r="C54" s="34"/>
      <c r="D54" s="34"/>
      <c r="E54" s="52"/>
      <c r="F54" s="52"/>
      <c r="G54" s="52"/>
      <c r="H54" s="52"/>
      <c r="I54" s="52"/>
      <c r="J54" s="52"/>
      <c r="K54" s="52"/>
      <c r="N54" s="52"/>
      <c r="O54" s="52"/>
    </row>
    <row r="55" spans="1:15">
      <c r="A55" s="37"/>
      <c r="B55" s="39"/>
      <c r="C55" s="34"/>
      <c r="D55" s="34"/>
      <c r="E55" s="52"/>
      <c r="F55" s="52"/>
      <c r="G55" s="52"/>
      <c r="H55" s="52"/>
      <c r="I55" s="52"/>
      <c r="J55" s="52"/>
      <c r="K55" s="52"/>
      <c r="N55" s="52"/>
      <c r="O55" s="52"/>
    </row>
    <row r="56" spans="1:15">
      <c r="A56" s="37"/>
      <c r="B56" s="39"/>
      <c r="C56" s="34"/>
      <c r="D56" s="34"/>
      <c r="E56" s="52"/>
      <c r="F56" s="52"/>
      <c r="G56" s="52"/>
      <c r="H56" s="52"/>
      <c r="I56" s="52"/>
      <c r="J56" s="52"/>
      <c r="K56" s="52"/>
      <c r="N56" s="52"/>
      <c r="O56" s="52"/>
    </row>
    <row r="57" spans="1:15">
      <c r="A57" s="37"/>
      <c r="B57" s="39"/>
      <c r="C57" s="34"/>
      <c r="D57" s="34"/>
      <c r="E57" s="52"/>
      <c r="F57" s="52"/>
      <c r="G57" s="52"/>
      <c r="H57" s="52"/>
      <c r="I57" s="52"/>
      <c r="J57" s="52"/>
      <c r="K57" s="52"/>
      <c r="N57" s="52"/>
      <c r="O57" s="52"/>
    </row>
    <row r="58" spans="1:15">
      <c r="A58" s="37"/>
      <c r="B58" s="39"/>
      <c r="C58" s="34"/>
      <c r="D58" s="34"/>
      <c r="E58" s="52"/>
      <c r="F58" s="52"/>
      <c r="G58" s="52"/>
      <c r="H58" s="52"/>
      <c r="I58" s="52"/>
      <c r="J58" s="52"/>
      <c r="K58" s="52"/>
      <c r="N58" s="52"/>
      <c r="O58" s="52"/>
    </row>
    <row r="59" spans="1:15">
      <c r="A59" s="37"/>
      <c r="B59" s="39"/>
      <c r="C59" s="34"/>
      <c r="D59" s="34"/>
      <c r="E59" s="52"/>
      <c r="F59" s="52"/>
      <c r="G59" s="52"/>
      <c r="H59" s="52"/>
      <c r="I59" s="52"/>
      <c r="J59" s="52"/>
      <c r="K59" s="52"/>
      <c r="N59" s="52"/>
      <c r="O59" s="52"/>
    </row>
    <row r="60" spans="1:15">
      <c r="A60" s="37"/>
      <c r="B60" s="39"/>
      <c r="C60" s="34"/>
      <c r="D60" s="34"/>
      <c r="E60" s="52"/>
      <c r="F60" s="52"/>
      <c r="G60" s="52"/>
      <c r="H60" s="52"/>
      <c r="I60" s="52"/>
      <c r="J60" s="52"/>
      <c r="K60" s="52"/>
      <c r="N60" s="52"/>
      <c r="O60" s="52"/>
    </row>
    <row r="61" spans="1:15" ht="15.75" thickBot="1">
      <c r="A61" s="44"/>
      <c r="B61" s="45"/>
      <c r="C61" s="45"/>
      <c r="D61" s="45"/>
      <c r="E61" s="47"/>
      <c r="F61" s="47"/>
      <c r="G61" s="47"/>
      <c r="H61" s="47"/>
      <c r="I61" s="47"/>
      <c r="J61" s="47"/>
      <c r="K61" s="47"/>
      <c r="N61" s="47"/>
      <c r="O61" s="47"/>
    </row>
    <row r="62" spans="1:15" ht="15.75" thickBot="1">
      <c r="A62" s="62" t="s">
        <v>4</v>
      </c>
      <c r="B62" s="63"/>
      <c r="C62" s="64">
        <f>SUM(C44:C46)</f>
        <v>22338.3</v>
      </c>
      <c r="D62" s="64"/>
      <c r="E62" s="65">
        <f t="shared" ref="E62:J62" si="5">SUM(E44:E60)</f>
        <v>0</v>
      </c>
      <c r="F62" s="65">
        <f t="shared" si="5"/>
        <v>0</v>
      </c>
      <c r="G62" s="65">
        <f t="shared" si="5"/>
        <v>0</v>
      </c>
      <c r="H62" s="65">
        <f t="shared" si="5"/>
        <v>22338.3</v>
      </c>
      <c r="I62" s="65">
        <f t="shared" si="5"/>
        <v>0</v>
      </c>
      <c r="J62" s="65">
        <f t="shared" si="5"/>
        <v>0</v>
      </c>
      <c r="K62" s="65">
        <f t="shared" ref="K62" si="6">SUM(K44:K60)</f>
        <v>0</v>
      </c>
      <c r="N62" s="65">
        <f t="shared" ref="N62:O62" si="7">SUM(N44:N60)</f>
        <v>0</v>
      </c>
      <c r="O62" s="65">
        <f t="shared" si="7"/>
        <v>0</v>
      </c>
    </row>
    <row r="63" spans="1:15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5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5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5" ht="15.75">
      <c r="A69" s="152" t="s">
        <v>12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</row>
    <row r="70" spans="1:15" ht="15.75">
      <c r="A70" s="152" t="s">
        <v>63</v>
      </c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</row>
    <row r="71" spans="1:15" ht="15.75">
      <c r="A71" s="146" t="s">
        <v>6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</row>
    <row r="72" spans="1:15" ht="16.5" thickBot="1">
      <c r="A72" s="159" t="s">
        <v>88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</row>
    <row r="73" spans="1:15" ht="15.75" thickBot="1">
      <c r="A73" s="114"/>
      <c r="B73" s="115"/>
      <c r="C73" s="115"/>
      <c r="D73" s="115"/>
      <c r="E73" s="116"/>
      <c r="F73" s="116" t="s">
        <v>57</v>
      </c>
      <c r="G73" s="116"/>
      <c r="H73" s="116" t="s">
        <v>16</v>
      </c>
      <c r="I73" s="116"/>
      <c r="J73" s="117"/>
      <c r="K73" s="120"/>
      <c r="L73" s="122"/>
      <c r="M73" s="122"/>
      <c r="N73" s="120" t="s">
        <v>85</v>
      </c>
      <c r="O73" s="120" t="s">
        <v>84</v>
      </c>
    </row>
    <row r="74" spans="1:15">
      <c r="A74" s="27"/>
      <c r="B74" s="22"/>
      <c r="C74" s="22"/>
      <c r="D74" s="22"/>
      <c r="E74" s="23"/>
      <c r="F74" s="23"/>
      <c r="G74" s="23"/>
      <c r="H74" s="23"/>
      <c r="I74" s="23"/>
      <c r="J74" s="70"/>
      <c r="K74" s="26"/>
      <c r="N74" s="26"/>
      <c r="O74" s="26"/>
    </row>
    <row r="75" spans="1:15">
      <c r="A75" s="37" t="s">
        <v>64</v>
      </c>
      <c r="B75" s="39">
        <v>223</v>
      </c>
      <c r="C75" s="34">
        <f>+C8-C44</f>
        <v>423161.7</v>
      </c>
      <c r="D75" s="34"/>
      <c r="E75" s="52">
        <f>+E8-E44</f>
        <v>0</v>
      </c>
      <c r="F75" s="52">
        <f t="shared" ref="F75:J75" si="8">+F8-F44</f>
        <v>36500</v>
      </c>
      <c r="G75" s="52">
        <f t="shared" si="8"/>
        <v>30000</v>
      </c>
      <c r="H75" s="52">
        <f t="shared" si="8"/>
        <v>6661.7000000000007</v>
      </c>
      <c r="I75" s="52">
        <f t="shared" si="8"/>
        <v>0</v>
      </c>
      <c r="J75" s="71">
        <f t="shared" si="8"/>
        <v>0</v>
      </c>
      <c r="K75" s="54">
        <f t="shared" ref="K75" si="9">+K8-K44</f>
        <v>350000</v>
      </c>
      <c r="N75" s="54">
        <f t="shared" ref="N75:O77" si="10">+N8-N44</f>
        <v>0</v>
      </c>
      <c r="O75" s="54">
        <f t="shared" si="10"/>
        <v>50000</v>
      </c>
    </row>
    <row r="76" spans="1:15">
      <c r="A76" s="37" t="s">
        <v>65</v>
      </c>
      <c r="B76" s="39">
        <v>222</v>
      </c>
      <c r="C76" s="34">
        <f t="shared" ref="C76:C77" si="11">+C9-C45</f>
        <v>245300</v>
      </c>
      <c r="D76" s="34"/>
      <c r="E76" s="52">
        <f t="shared" ref="E76:J77" si="12">+E9-E45</f>
        <v>0</v>
      </c>
      <c r="F76" s="52">
        <f t="shared" si="12"/>
        <v>211150</v>
      </c>
      <c r="G76" s="52">
        <f t="shared" si="12"/>
        <v>34150</v>
      </c>
      <c r="H76" s="52">
        <f t="shared" si="12"/>
        <v>0</v>
      </c>
      <c r="I76" s="52">
        <f t="shared" si="12"/>
        <v>0</v>
      </c>
      <c r="J76" s="71">
        <f t="shared" si="12"/>
        <v>0</v>
      </c>
      <c r="K76" s="54">
        <f t="shared" ref="K76" si="13">+K9-K45</f>
        <v>0</v>
      </c>
      <c r="N76" s="54">
        <f t="shared" si="10"/>
        <v>0</v>
      </c>
      <c r="O76" s="54">
        <f t="shared" si="10"/>
        <v>0</v>
      </c>
    </row>
    <row r="77" spans="1:15">
      <c r="A77" s="37" t="s">
        <v>66</v>
      </c>
      <c r="B77" s="39">
        <v>226</v>
      </c>
      <c r="C77" s="34">
        <f t="shared" si="11"/>
        <v>0</v>
      </c>
      <c r="D77" s="34"/>
      <c r="E77" s="52">
        <f t="shared" si="12"/>
        <v>0</v>
      </c>
      <c r="F77" s="52">
        <f t="shared" si="12"/>
        <v>0</v>
      </c>
      <c r="G77" s="52">
        <f t="shared" si="12"/>
        <v>0</v>
      </c>
      <c r="H77" s="52">
        <f t="shared" si="12"/>
        <v>0</v>
      </c>
      <c r="I77" s="52">
        <f t="shared" si="12"/>
        <v>0</v>
      </c>
      <c r="J77" s="71">
        <f t="shared" si="12"/>
        <v>0</v>
      </c>
      <c r="K77" s="54">
        <f t="shared" ref="K77" si="14">+K10-K46</f>
        <v>0</v>
      </c>
      <c r="N77" s="54">
        <f t="shared" si="10"/>
        <v>0</v>
      </c>
      <c r="O77" s="54">
        <f t="shared" si="10"/>
        <v>0</v>
      </c>
    </row>
    <row r="78" spans="1:15">
      <c r="A78" s="37"/>
      <c r="B78" s="39"/>
      <c r="C78" s="34"/>
      <c r="D78" s="34"/>
      <c r="E78" s="52"/>
      <c r="F78" s="52"/>
      <c r="G78" s="52"/>
      <c r="H78" s="52"/>
      <c r="I78" s="52"/>
      <c r="J78" s="71"/>
      <c r="K78" s="54"/>
      <c r="N78" s="54"/>
      <c r="O78" s="54"/>
    </row>
    <row r="79" spans="1:15">
      <c r="A79" s="37"/>
      <c r="B79" s="39"/>
      <c r="C79" s="34"/>
      <c r="D79" s="34"/>
      <c r="E79" s="52"/>
      <c r="F79" s="52"/>
      <c r="G79" s="52"/>
      <c r="H79" s="52"/>
      <c r="I79" s="52"/>
      <c r="J79" s="71"/>
      <c r="K79" s="54"/>
      <c r="N79" s="54"/>
      <c r="O79" s="54"/>
    </row>
    <row r="80" spans="1:15">
      <c r="A80" s="37"/>
      <c r="B80" s="39"/>
      <c r="C80" s="34"/>
      <c r="D80" s="34"/>
      <c r="E80" s="52"/>
      <c r="F80" s="52"/>
      <c r="G80" s="52"/>
      <c r="H80" s="52"/>
      <c r="I80" s="52"/>
      <c r="J80" s="71"/>
      <c r="K80" s="54"/>
      <c r="N80" s="54"/>
      <c r="O80" s="54"/>
    </row>
    <row r="81" spans="1:15">
      <c r="A81" s="37"/>
      <c r="B81" s="39"/>
      <c r="C81" s="34"/>
      <c r="D81" s="34"/>
      <c r="E81" s="52"/>
      <c r="F81" s="52"/>
      <c r="G81" s="52"/>
      <c r="H81" s="52"/>
      <c r="I81" s="52"/>
      <c r="J81" s="71"/>
      <c r="K81" s="54"/>
      <c r="N81" s="54"/>
      <c r="O81" s="54"/>
    </row>
    <row r="82" spans="1:15">
      <c r="A82" s="37"/>
      <c r="B82" s="39"/>
      <c r="C82" s="34"/>
      <c r="D82" s="34"/>
      <c r="E82" s="52"/>
      <c r="F82" s="52"/>
      <c r="G82" s="52"/>
      <c r="H82" s="52"/>
      <c r="I82" s="52"/>
      <c r="J82" s="71"/>
      <c r="K82" s="54"/>
      <c r="N82" s="54"/>
      <c r="O82" s="54"/>
    </row>
    <row r="83" spans="1:15">
      <c r="A83" s="37"/>
      <c r="B83" s="39"/>
      <c r="C83" s="34"/>
      <c r="D83" s="34"/>
      <c r="E83" s="52"/>
      <c r="F83" s="52"/>
      <c r="G83" s="52"/>
      <c r="H83" s="52"/>
      <c r="I83" s="52"/>
      <c r="J83" s="71"/>
      <c r="K83" s="54"/>
      <c r="N83" s="54"/>
      <c r="O83" s="54"/>
    </row>
    <row r="84" spans="1:15">
      <c r="A84" s="37"/>
      <c r="B84" s="39"/>
      <c r="C84" s="34"/>
      <c r="D84" s="34"/>
      <c r="E84" s="52"/>
      <c r="F84" s="52"/>
      <c r="G84" s="52"/>
      <c r="H84" s="52"/>
      <c r="I84" s="52"/>
      <c r="J84" s="71"/>
      <c r="K84" s="54"/>
      <c r="N84" s="54"/>
      <c r="O84" s="54"/>
    </row>
    <row r="85" spans="1:15">
      <c r="A85" s="37"/>
      <c r="B85" s="39"/>
      <c r="C85" s="34"/>
      <c r="D85" s="34"/>
      <c r="E85" s="52"/>
      <c r="F85" s="52"/>
      <c r="G85" s="52"/>
      <c r="H85" s="52"/>
      <c r="I85" s="52"/>
      <c r="J85" s="71"/>
      <c r="K85" s="54"/>
      <c r="N85" s="54"/>
      <c r="O85" s="54"/>
    </row>
    <row r="86" spans="1:15">
      <c r="A86" s="37"/>
      <c r="B86" s="39"/>
      <c r="C86" s="34"/>
      <c r="D86" s="34"/>
      <c r="E86" s="52"/>
      <c r="F86" s="52"/>
      <c r="G86" s="52"/>
      <c r="H86" s="52"/>
      <c r="I86" s="52"/>
      <c r="J86" s="71"/>
      <c r="K86" s="54"/>
      <c r="N86" s="54"/>
      <c r="O86" s="54"/>
    </row>
    <row r="87" spans="1:15">
      <c r="A87" s="37"/>
      <c r="B87" s="39"/>
      <c r="C87" s="34"/>
      <c r="D87" s="34"/>
      <c r="E87" s="52"/>
      <c r="F87" s="52"/>
      <c r="G87" s="52"/>
      <c r="H87" s="52"/>
      <c r="I87" s="52"/>
      <c r="J87" s="71"/>
      <c r="K87" s="54"/>
      <c r="N87" s="54"/>
      <c r="O87" s="54"/>
    </row>
    <row r="88" spans="1:15">
      <c r="A88" s="37"/>
      <c r="B88" s="39"/>
      <c r="C88" s="34"/>
      <c r="D88" s="34"/>
      <c r="E88" s="52"/>
      <c r="F88" s="52"/>
      <c r="G88" s="52"/>
      <c r="H88" s="52"/>
      <c r="I88" s="52"/>
      <c r="J88" s="71"/>
      <c r="K88" s="54"/>
      <c r="N88" s="54"/>
      <c r="O88" s="54"/>
    </row>
    <row r="89" spans="1:15" ht="15.75" thickBot="1">
      <c r="A89" s="44"/>
      <c r="B89" s="45"/>
      <c r="C89" s="45"/>
      <c r="D89" s="45"/>
      <c r="E89" s="47"/>
      <c r="F89" s="47"/>
      <c r="G89" s="47"/>
      <c r="H89" s="47"/>
      <c r="I89" s="47"/>
      <c r="J89" s="72"/>
      <c r="K89" s="48"/>
      <c r="N89" s="48"/>
      <c r="O89" s="48"/>
    </row>
    <row r="90" spans="1:15" ht="15.75" thickBot="1">
      <c r="A90" s="76" t="s">
        <v>4</v>
      </c>
      <c r="B90" s="77"/>
      <c r="C90" s="78">
        <f>SUM(C75:C89)</f>
        <v>668461.69999999995</v>
      </c>
      <c r="D90" s="78"/>
      <c r="E90" s="79">
        <f t="shared" ref="E90:J90" si="15">SUM(E75:E88)</f>
        <v>0</v>
      </c>
      <c r="F90" s="79">
        <f t="shared" si="15"/>
        <v>247650</v>
      </c>
      <c r="G90" s="79">
        <f t="shared" si="15"/>
        <v>64150</v>
      </c>
      <c r="H90" s="79">
        <f t="shared" si="15"/>
        <v>6661.7000000000007</v>
      </c>
      <c r="I90" s="79">
        <f t="shared" si="15"/>
        <v>0</v>
      </c>
      <c r="J90" s="80">
        <f t="shared" si="15"/>
        <v>0</v>
      </c>
      <c r="K90" s="108">
        <f t="shared" ref="K90" si="16">SUM(K75:K88)</f>
        <v>350000</v>
      </c>
      <c r="N90" s="109">
        <f t="shared" ref="N90:O90" si="17">SUM(N75:N88)</f>
        <v>0</v>
      </c>
      <c r="O90" s="109">
        <f t="shared" si="17"/>
        <v>50000</v>
      </c>
    </row>
    <row r="91" spans="1:15">
      <c r="A91" s="94" t="s">
        <v>86</v>
      </c>
      <c r="B91" s="73"/>
      <c r="C91" s="74"/>
      <c r="D91" s="74"/>
      <c r="E91" s="75"/>
      <c r="F91" s="75"/>
      <c r="G91" s="75"/>
      <c r="H91" s="75"/>
      <c r="I91" s="75"/>
      <c r="J91" s="75"/>
      <c r="K91" s="110"/>
      <c r="L91" s="110"/>
      <c r="M91" s="110"/>
      <c r="N91" s="110"/>
      <c r="O91" s="82"/>
    </row>
    <row r="92" spans="1:15">
      <c r="A92" s="55" t="s">
        <v>59</v>
      </c>
      <c r="B92" s="56"/>
      <c r="C92" s="56"/>
      <c r="D92" s="56"/>
      <c r="E92" s="56" t="s">
        <v>10</v>
      </c>
      <c r="F92" s="56"/>
      <c r="G92" s="56"/>
      <c r="H92" s="56"/>
      <c r="I92" s="56" t="s">
        <v>11</v>
      </c>
      <c r="J92" s="81"/>
      <c r="K92" s="16"/>
      <c r="L92" s="16"/>
      <c r="M92" s="16"/>
      <c r="N92" s="16"/>
      <c r="O92" s="17"/>
    </row>
    <row r="93" spans="1:15">
      <c r="A93" s="18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7"/>
    </row>
    <row r="94" spans="1:15">
      <c r="A94" s="18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7"/>
    </row>
    <row r="95" spans="1:15">
      <c r="A95" s="18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7"/>
    </row>
    <row r="96" spans="1:15" ht="15.75">
      <c r="A96" s="100" t="s">
        <v>8</v>
      </c>
      <c r="B96" s="102"/>
      <c r="C96" s="68"/>
      <c r="D96" s="68"/>
      <c r="E96" s="101" t="s">
        <v>19</v>
      </c>
      <c r="F96" s="101"/>
      <c r="G96" s="101"/>
      <c r="H96" s="68"/>
      <c r="I96" s="68" t="s">
        <v>79</v>
      </c>
      <c r="J96" s="68"/>
      <c r="K96" s="16"/>
      <c r="L96" s="16"/>
      <c r="M96" s="16"/>
      <c r="N96" s="16"/>
      <c r="O96" s="17"/>
    </row>
    <row r="97" spans="1:15" ht="15.75">
      <c r="A97" s="104" t="s">
        <v>9</v>
      </c>
      <c r="B97" s="103"/>
      <c r="C97" s="67"/>
      <c r="D97" s="67"/>
      <c r="E97" s="103" t="s">
        <v>58</v>
      </c>
      <c r="F97" s="103"/>
      <c r="G97" s="103"/>
      <c r="H97" s="67"/>
      <c r="I97" s="67" t="s">
        <v>80</v>
      </c>
      <c r="J97" s="67"/>
      <c r="K97" s="16"/>
      <c r="L97" s="16"/>
      <c r="M97" s="16"/>
      <c r="N97" s="16"/>
      <c r="O97" s="17"/>
    </row>
    <row r="98" spans="1:15" ht="16.5" thickBot="1">
      <c r="A98" s="157" t="s">
        <v>68</v>
      </c>
      <c r="B98" s="158"/>
      <c r="C98" s="158" t="s">
        <v>69</v>
      </c>
      <c r="D98" s="158"/>
      <c r="E98" s="158"/>
      <c r="F98" s="158"/>
      <c r="G98" s="158"/>
      <c r="H98" s="158"/>
      <c r="I98" s="69"/>
      <c r="J98" s="69"/>
      <c r="K98" s="111"/>
      <c r="L98" s="111"/>
      <c r="M98" s="111"/>
      <c r="N98" s="111"/>
      <c r="O98" s="83"/>
    </row>
  </sheetData>
  <mergeCells count="14">
    <mergeCell ref="A38:O38"/>
    <mergeCell ref="A39:O39"/>
    <mergeCell ref="A98:B98"/>
    <mergeCell ref="C98:H98"/>
    <mergeCell ref="A1:O1"/>
    <mergeCell ref="A2:O2"/>
    <mergeCell ref="A3:O3"/>
    <mergeCell ref="A4:O4"/>
    <mergeCell ref="A37:O37"/>
    <mergeCell ref="A40:O40"/>
    <mergeCell ref="A69:O69"/>
    <mergeCell ref="A70:O70"/>
    <mergeCell ref="A71:O71"/>
    <mergeCell ref="A72:O72"/>
  </mergeCells>
  <pageMargins left="0.7" right="0.41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enduser</cp:lastModifiedBy>
  <cp:lastPrinted>2013-02-21T00:59:50Z</cp:lastPrinted>
  <dcterms:created xsi:type="dcterms:W3CDTF">2011-03-04T02:00:56Z</dcterms:created>
  <dcterms:modified xsi:type="dcterms:W3CDTF">2013-02-21T01:31:25Z</dcterms:modified>
</cp:coreProperties>
</file>