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3895" windowHeight="91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M47" i="1" l="1"/>
  <c r="H53" i="2"/>
  <c r="I59" i="1"/>
  <c r="I55" i="1"/>
  <c r="I54" i="1"/>
  <c r="I61" i="1"/>
  <c r="I47" i="1"/>
  <c r="L61" i="1"/>
  <c r="L54" i="1"/>
  <c r="I53" i="2"/>
  <c r="I57" i="2"/>
  <c r="J61" i="1"/>
  <c r="J55" i="1"/>
  <c r="J54" i="1"/>
  <c r="J47" i="1"/>
  <c r="E51" i="2"/>
  <c r="F53" i="1"/>
  <c r="F47" i="1"/>
  <c r="G51" i="2"/>
  <c r="H53" i="1"/>
  <c r="H47" i="1"/>
  <c r="L55" i="2" l="1"/>
  <c r="G60" i="2"/>
  <c r="H57" i="2"/>
  <c r="H55" i="2"/>
  <c r="L53" i="2"/>
  <c r="G53" i="2"/>
  <c r="G52" i="2"/>
  <c r="M51" i="2"/>
  <c r="L51" i="2"/>
  <c r="M57" i="1"/>
  <c r="M55" i="1"/>
  <c r="M54" i="1"/>
  <c r="L47" i="1"/>
  <c r="K52" i="1"/>
  <c r="I53" i="1"/>
  <c r="F57" i="1"/>
  <c r="G66" i="2" l="1"/>
  <c r="G47" i="2"/>
  <c r="F55" i="2"/>
  <c r="K53" i="2"/>
  <c r="K51" i="2"/>
  <c r="I52" i="2"/>
  <c r="I51" i="2"/>
  <c r="E53" i="2"/>
  <c r="E52" i="2"/>
  <c r="J53" i="1"/>
  <c r="L66" i="2" l="1"/>
  <c r="H62" i="2"/>
  <c r="I66" i="2"/>
  <c r="J44" i="2"/>
  <c r="E49" i="2"/>
  <c r="E45" i="2"/>
  <c r="L57" i="1"/>
  <c r="F51" i="2"/>
  <c r="H66" i="2"/>
  <c r="F81" i="1"/>
  <c r="M66" i="2"/>
  <c r="I59" i="2"/>
  <c r="E66" i="2"/>
  <c r="H55" i="1"/>
  <c r="H54" i="1"/>
  <c r="I46" i="2" l="1"/>
  <c r="M61" i="1"/>
  <c r="J88" i="1"/>
  <c r="L88" i="2"/>
  <c r="F53" i="2"/>
  <c r="F52" i="2"/>
  <c r="N95" i="1"/>
  <c r="M95" i="1"/>
  <c r="L95" i="1"/>
  <c r="K95" i="1"/>
  <c r="J95" i="1"/>
  <c r="I95" i="1"/>
  <c r="H95" i="1"/>
  <c r="G95" i="1"/>
  <c r="N94" i="1"/>
  <c r="M94" i="1"/>
  <c r="L94" i="1"/>
  <c r="K94" i="1"/>
  <c r="J94" i="1"/>
  <c r="I94" i="1"/>
  <c r="H94" i="1"/>
  <c r="G94" i="1"/>
  <c r="N93" i="1"/>
  <c r="M93" i="1"/>
  <c r="L93" i="1"/>
  <c r="K93" i="1"/>
  <c r="J93" i="1"/>
  <c r="I93" i="1"/>
  <c r="H93" i="1"/>
  <c r="G93" i="1"/>
  <c r="N92" i="1"/>
  <c r="M92" i="1"/>
  <c r="L92" i="1"/>
  <c r="K92" i="1"/>
  <c r="J92" i="1"/>
  <c r="I92" i="1"/>
  <c r="H92" i="1"/>
  <c r="G92" i="1"/>
  <c r="N91" i="1"/>
  <c r="L91" i="1"/>
  <c r="K91" i="1"/>
  <c r="J91" i="1"/>
  <c r="I91" i="1"/>
  <c r="H91" i="1"/>
  <c r="N90" i="1"/>
  <c r="M90" i="1"/>
  <c r="L90" i="1"/>
  <c r="K90" i="1"/>
  <c r="J90" i="1"/>
  <c r="I90" i="1"/>
  <c r="H90" i="1"/>
  <c r="G90" i="1"/>
  <c r="N89" i="1"/>
  <c r="M89" i="1"/>
  <c r="L89" i="1"/>
  <c r="K89" i="1"/>
  <c r="J89" i="1"/>
  <c r="I89" i="1"/>
  <c r="H89" i="1"/>
  <c r="G89" i="1"/>
  <c r="N88" i="1"/>
  <c r="M88" i="1"/>
  <c r="L88" i="1"/>
  <c r="K88" i="1"/>
  <c r="I88" i="1"/>
  <c r="H88" i="1"/>
  <c r="G88" i="1"/>
  <c r="N87" i="1"/>
  <c r="M87" i="1"/>
  <c r="L87" i="1"/>
  <c r="K87" i="1"/>
  <c r="J87" i="1"/>
  <c r="I87" i="1"/>
  <c r="G87" i="1"/>
  <c r="N86" i="1"/>
  <c r="M86" i="1"/>
  <c r="L86" i="1"/>
  <c r="J86" i="1"/>
  <c r="I86" i="1"/>
  <c r="H86" i="1"/>
  <c r="G86" i="1"/>
  <c r="N85" i="1"/>
  <c r="M85" i="1"/>
  <c r="L85" i="1"/>
  <c r="K85" i="1"/>
  <c r="J85" i="1"/>
  <c r="I85" i="1"/>
  <c r="H85" i="1"/>
  <c r="G85" i="1"/>
  <c r="N84" i="1"/>
  <c r="M84" i="1"/>
  <c r="L84" i="1"/>
  <c r="K84" i="1"/>
  <c r="J84" i="1"/>
  <c r="I84" i="1"/>
  <c r="H84" i="1"/>
  <c r="G84" i="1"/>
  <c r="N83" i="1"/>
  <c r="M83" i="1"/>
  <c r="L83" i="1"/>
  <c r="K83" i="1"/>
  <c r="J83" i="1"/>
  <c r="I83" i="1"/>
  <c r="H83" i="1"/>
  <c r="G83" i="1"/>
  <c r="N82" i="1"/>
  <c r="M82" i="1"/>
  <c r="L82" i="1"/>
  <c r="K82" i="1"/>
  <c r="J82" i="1"/>
  <c r="I82" i="1"/>
  <c r="H82" i="1"/>
  <c r="G82" i="1"/>
  <c r="N81" i="1"/>
  <c r="K81" i="1"/>
  <c r="N80" i="1"/>
  <c r="M80" i="1"/>
  <c r="L80" i="1"/>
  <c r="K80" i="1"/>
  <c r="J80" i="1"/>
  <c r="I80" i="1"/>
  <c r="H80" i="1"/>
  <c r="G80" i="1"/>
  <c r="F95" i="1"/>
  <c r="F94" i="1"/>
  <c r="D94" i="1" s="1"/>
  <c r="F93" i="1"/>
  <c r="F92" i="1"/>
  <c r="D92" i="1" s="1"/>
  <c r="F91" i="1"/>
  <c r="F90" i="1"/>
  <c r="F89" i="1"/>
  <c r="F88" i="1"/>
  <c r="F87" i="1"/>
  <c r="F86" i="1"/>
  <c r="F85" i="1"/>
  <c r="F84" i="1"/>
  <c r="F83" i="1"/>
  <c r="F82" i="1"/>
  <c r="D28" i="1"/>
  <c r="D27" i="1"/>
  <c r="D26" i="1"/>
  <c r="D95" i="1"/>
  <c r="D93" i="1"/>
  <c r="F80" i="1"/>
  <c r="M103" i="2"/>
  <c r="K103" i="2"/>
  <c r="I103" i="2"/>
  <c r="G103" i="2"/>
  <c r="M102" i="2"/>
  <c r="L102" i="2"/>
  <c r="K102" i="2"/>
  <c r="J102" i="2"/>
  <c r="I102" i="2"/>
  <c r="H102" i="2"/>
  <c r="G102" i="2"/>
  <c r="M101" i="2"/>
  <c r="L101" i="2"/>
  <c r="K101" i="2"/>
  <c r="J101" i="2"/>
  <c r="I101" i="2"/>
  <c r="H101" i="2"/>
  <c r="G101" i="2"/>
  <c r="M100" i="2"/>
  <c r="L100" i="2"/>
  <c r="K100" i="2"/>
  <c r="J100" i="2"/>
  <c r="I100" i="2"/>
  <c r="H100" i="2"/>
  <c r="G100" i="2"/>
  <c r="M99" i="2"/>
  <c r="L99" i="2"/>
  <c r="K99" i="2"/>
  <c r="J99" i="2"/>
  <c r="I99" i="2"/>
  <c r="H99" i="2"/>
  <c r="G99" i="2"/>
  <c r="M98" i="2"/>
  <c r="L98" i="2"/>
  <c r="K98" i="2"/>
  <c r="J98" i="2"/>
  <c r="I98" i="2"/>
  <c r="H98" i="2"/>
  <c r="G98" i="2"/>
  <c r="M97" i="2"/>
  <c r="L97" i="2"/>
  <c r="K97" i="2"/>
  <c r="J97" i="2"/>
  <c r="I97" i="2"/>
  <c r="H97" i="2"/>
  <c r="M96" i="2"/>
  <c r="L96" i="2"/>
  <c r="K96" i="2"/>
  <c r="J96" i="2"/>
  <c r="I96" i="2"/>
  <c r="H96" i="2"/>
  <c r="G96" i="2"/>
  <c r="M95" i="2"/>
  <c r="L95" i="2"/>
  <c r="K95" i="2"/>
  <c r="J95" i="2"/>
  <c r="I95" i="2"/>
  <c r="H95" i="2"/>
  <c r="G95" i="2"/>
  <c r="M94" i="2"/>
  <c r="L94" i="2"/>
  <c r="K94" i="2"/>
  <c r="J94" i="2"/>
  <c r="G94" i="2"/>
  <c r="M93" i="2"/>
  <c r="L93" i="2"/>
  <c r="K93" i="2"/>
  <c r="J93" i="2"/>
  <c r="I93" i="2"/>
  <c r="H93" i="2"/>
  <c r="G93" i="2"/>
  <c r="M92" i="2"/>
  <c r="K92" i="2"/>
  <c r="J92" i="2"/>
  <c r="I92" i="2"/>
  <c r="H92" i="2"/>
  <c r="G92" i="2"/>
  <c r="M91" i="2"/>
  <c r="L91" i="2"/>
  <c r="K91" i="2"/>
  <c r="J91" i="2"/>
  <c r="I91" i="2"/>
  <c r="H91" i="2"/>
  <c r="G91" i="2"/>
  <c r="M90" i="2"/>
  <c r="L90" i="2"/>
  <c r="M89" i="2"/>
  <c r="L89" i="2"/>
  <c r="K89" i="2"/>
  <c r="H89" i="2"/>
  <c r="G89" i="2"/>
  <c r="M87" i="2"/>
  <c r="L87" i="2"/>
  <c r="K87" i="2"/>
  <c r="J87" i="2"/>
  <c r="I87" i="2"/>
  <c r="H87" i="2"/>
  <c r="G87" i="2"/>
  <c r="M86" i="2"/>
  <c r="L86" i="2"/>
  <c r="K86" i="2"/>
  <c r="J86" i="2"/>
  <c r="I86" i="2"/>
  <c r="H86" i="2"/>
  <c r="G86" i="2"/>
  <c r="M85" i="2"/>
  <c r="L85" i="2"/>
  <c r="K85" i="2"/>
  <c r="J85" i="2"/>
  <c r="I85" i="2"/>
  <c r="H85" i="2"/>
  <c r="G85" i="2"/>
  <c r="M84" i="2"/>
  <c r="L84" i="2"/>
  <c r="K84" i="2"/>
  <c r="J84" i="2"/>
  <c r="I84" i="2"/>
  <c r="H84" i="2"/>
  <c r="M83" i="2"/>
  <c r="L83" i="2"/>
  <c r="K83" i="2"/>
  <c r="J83" i="2"/>
  <c r="I83" i="2"/>
  <c r="H83" i="2"/>
  <c r="G83" i="2"/>
  <c r="M82" i="2"/>
  <c r="L82" i="2"/>
  <c r="K82" i="2"/>
  <c r="J82" i="2"/>
  <c r="I82" i="2"/>
  <c r="H82" i="2"/>
  <c r="G82" i="2"/>
  <c r="M81" i="2"/>
  <c r="L81" i="2"/>
  <c r="K81" i="2"/>
  <c r="J81" i="2"/>
  <c r="I81" i="2"/>
  <c r="H81" i="2"/>
  <c r="G81" i="2"/>
  <c r="F103" i="2"/>
  <c r="F102" i="2"/>
  <c r="F101" i="2"/>
  <c r="F100" i="2"/>
  <c r="F99" i="2"/>
  <c r="F98" i="2"/>
  <c r="F97" i="2"/>
  <c r="F96" i="2"/>
  <c r="F95" i="2"/>
  <c r="F94" i="2"/>
  <c r="F93" i="2"/>
  <c r="F91" i="2"/>
  <c r="F90" i="2"/>
  <c r="F87" i="2"/>
  <c r="F86" i="2"/>
  <c r="F85" i="2"/>
  <c r="F84" i="2"/>
  <c r="F83" i="2"/>
  <c r="F82" i="2"/>
  <c r="F81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89" i="2"/>
  <c r="E87" i="2"/>
  <c r="E86" i="2"/>
  <c r="E85" i="2"/>
  <c r="E84" i="2"/>
  <c r="E83" i="2"/>
  <c r="E82" i="2"/>
  <c r="E81" i="2"/>
  <c r="M32" i="2"/>
  <c r="K32" i="2"/>
  <c r="I32" i="2"/>
  <c r="G32" i="2"/>
  <c r="F32" i="2"/>
  <c r="E32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G90" i="2"/>
  <c r="G88" i="2"/>
  <c r="G84" i="2"/>
  <c r="L92" i="2"/>
  <c r="F89" i="2"/>
  <c r="K90" i="2"/>
  <c r="H94" i="2"/>
  <c r="I94" i="2"/>
  <c r="I90" i="2"/>
  <c r="E90" i="2"/>
  <c r="E88" i="2"/>
  <c r="H87" i="1"/>
  <c r="H81" i="1"/>
  <c r="M91" i="1"/>
  <c r="M81" i="1"/>
  <c r="G57" i="1"/>
  <c r="G91" i="1" s="1"/>
  <c r="G47" i="1"/>
  <c r="G81" i="1" s="1"/>
  <c r="L81" i="1"/>
  <c r="I81" i="1"/>
  <c r="J81" i="1"/>
  <c r="K86" i="1"/>
  <c r="L68" i="2" l="1"/>
  <c r="E68" i="2"/>
  <c r="N97" i="1"/>
  <c r="M97" i="1"/>
  <c r="L97" i="1"/>
  <c r="K97" i="1"/>
  <c r="J97" i="1"/>
  <c r="I97" i="1"/>
  <c r="H97" i="1"/>
  <c r="G97" i="1"/>
  <c r="D86" i="1"/>
  <c r="G97" i="2"/>
  <c r="F92" i="2"/>
  <c r="H90" i="2"/>
  <c r="I89" i="2"/>
  <c r="J90" i="2"/>
  <c r="J89" i="2"/>
  <c r="N63" i="1"/>
  <c r="M63" i="1"/>
  <c r="L63" i="1"/>
  <c r="K63" i="1"/>
  <c r="J63" i="1"/>
  <c r="I63" i="1"/>
  <c r="H63" i="1"/>
  <c r="G63" i="1"/>
  <c r="F63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F97" i="1"/>
  <c r="G105" i="2"/>
  <c r="C84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31" i="2"/>
  <c r="L30" i="2"/>
  <c r="J30" i="2"/>
  <c r="H30" i="2"/>
  <c r="N31" i="1"/>
  <c r="M31" i="1"/>
  <c r="L31" i="1"/>
  <c r="K31" i="1"/>
  <c r="J31" i="1"/>
  <c r="I31" i="1"/>
  <c r="H31" i="1"/>
  <c r="G31" i="1"/>
  <c r="F31" i="1"/>
  <c r="D29" i="1"/>
  <c r="D25" i="1"/>
  <c r="D24" i="1"/>
  <c r="D23" i="1"/>
  <c r="D22" i="1"/>
  <c r="D21" i="1"/>
  <c r="D19" i="1"/>
  <c r="D18" i="1"/>
  <c r="D17" i="1"/>
  <c r="D16" i="1"/>
  <c r="D15" i="1"/>
  <c r="D14" i="1"/>
  <c r="C8" i="3"/>
  <c r="C7" i="3"/>
  <c r="D85" i="1"/>
  <c r="H103" i="2" l="1"/>
  <c r="H32" i="2"/>
  <c r="C30" i="2"/>
  <c r="C32" i="2" s="1"/>
  <c r="L103" i="2"/>
  <c r="L32" i="2"/>
  <c r="I88" i="2"/>
  <c r="I68" i="2"/>
  <c r="H88" i="2"/>
  <c r="H68" i="2"/>
  <c r="K88" i="2"/>
  <c r="K68" i="2"/>
  <c r="G68" i="2"/>
  <c r="J103" i="2"/>
  <c r="J32" i="2"/>
  <c r="J88" i="2"/>
  <c r="J68" i="2"/>
  <c r="F88" i="2"/>
  <c r="F68" i="2"/>
  <c r="M88" i="2"/>
  <c r="M68" i="2"/>
  <c r="F105" i="2"/>
  <c r="D31" i="1"/>
  <c r="D82" i="1"/>
  <c r="M105" i="2" l="1"/>
  <c r="C68" i="2"/>
  <c r="M75" i="3" l="1"/>
  <c r="M74" i="3"/>
  <c r="M73" i="3"/>
  <c r="M58" i="3"/>
  <c r="M28" i="3"/>
  <c r="L105" i="2"/>
  <c r="M88" i="3" l="1"/>
  <c r="L75" i="3"/>
  <c r="K75" i="3"/>
  <c r="J75" i="3"/>
  <c r="I75" i="3"/>
  <c r="H75" i="3"/>
  <c r="L74" i="3"/>
  <c r="K74" i="3"/>
  <c r="J74" i="3"/>
  <c r="I74" i="3"/>
  <c r="H74" i="3"/>
  <c r="L73" i="3"/>
  <c r="K73" i="3"/>
  <c r="J73" i="3"/>
  <c r="I73" i="3"/>
  <c r="H73" i="3"/>
  <c r="E75" i="3"/>
  <c r="E74" i="3"/>
  <c r="E73" i="3"/>
  <c r="C42" i="3"/>
  <c r="C41" i="3"/>
  <c r="C74" i="3" s="1"/>
  <c r="C40" i="3"/>
  <c r="C9" i="3"/>
  <c r="K58" i="3"/>
  <c r="J58" i="3"/>
  <c r="L58" i="3"/>
  <c r="H58" i="3"/>
  <c r="L28" i="3"/>
  <c r="K28" i="3"/>
  <c r="J28" i="3"/>
  <c r="I28" i="3"/>
  <c r="H28" i="3"/>
  <c r="E28" i="3"/>
  <c r="J105" i="2"/>
  <c r="C58" i="3" l="1"/>
  <c r="E105" i="2"/>
  <c r="K105" i="2"/>
  <c r="H105" i="2"/>
  <c r="J88" i="3"/>
  <c r="C103" i="2"/>
  <c r="D80" i="1"/>
  <c r="D87" i="1"/>
  <c r="D90" i="1"/>
  <c r="C73" i="3"/>
  <c r="D83" i="1"/>
  <c r="D84" i="1"/>
  <c r="C75" i="3"/>
  <c r="D91" i="1"/>
  <c r="C91" i="2"/>
  <c r="C95" i="2"/>
  <c r="C96" i="2"/>
  <c r="C97" i="2"/>
  <c r="C98" i="2"/>
  <c r="C99" i="2"/>
  <c r="C100" i="2"/>
  <c r="C102" i="2"/>
  <c r="C83" i="2"/>
  <c r="C81" i="2"/>
  <c r="C101" i="2"/>
  <c r="C85" i="2"/>
  <c r="C86" i="2"/>
  <c r="C87" i="2"/>
  <c r="C93" i="2"/>
  <c r="C82" i="2"/>
  <c r="C92" i="2"/>
  <c r="C89" i="2"/>
  <c r="C90" i="2"/>
  <c r="D89" i="1"/>
  <c r="D88" i="1"/>
  <c r="C28" i="3"/>
  <c r="I88" i="3"/>
  <c r="K88" i="3"/>
  <c r="E58" i="3"/>
  <c r="I58" i="3"/>
  <c r="E88" i="3"/>
  <c r="D63" i="1"/>
  <c r="C94" i="2"/>
  <c r="I105" i="2" l="1"/>
  <c r="C88" i="3"/>
  <c r="D97" i="1"/>
  <c r="C88" i="2"/>
  <c r="C105" i="2" s="1"/>
  <c r="D81" i="1"/>
  <c r="L88" i="3"/>
  <c r="H88" i="3"/>
</calcChain>
</file>

<file path=xl/sharedStrings.xml><?xml version="1.0" encoding="utf-8"?>
<sst xmlns="http://schemas.openxmlformats.org/spreadsheetml/2006/main" count="318" uniqueCount="100">
  <si>
    <t>PERSONAL SERVICES</t>
  </si>
  <si>
    <t>ACCOUNT TITLE</t>
  </si>
  <si>
    <t>CODE</t>
  </si>
  <si>
    <t>ALLOTMENT</t>
  </si>
  <si>
    <t>TOTAL</t>
  </si>
  <si>
    <t>OBLIGATIONS</t>
  </si>
  <si>
    <t>BALANCES</t>
  </si>
  <si>
    <t>MAINTENANCE AND OTHER OPERATING EXPENSES</t>
  </si>
  <si>
    <t xml:space="preserve">              ESTRELLITA M. DACLAN</t>
  </si>
  <si>
    <t xml:space="preserve">      Supervising Administrative Officer</t>
  </si>
  <si>
    <t>Approved:</t>
  </si>
  <si>
    <t>REVOLVING FUND 163</t>
  </si>
  <si>
    <t>SLS CANTEEN</t>
  </si>
  <si>
    <t>HMEG</t>
  </si>
  <si>
    <t>ANIMAL</t>
  </si>
  <si>
    <t>HOSPITAL</t>
  </si>
  <si>
    <t>GARMENTS</t>
  </si>
  <si>
    <t>CAFETERIA</t>
  </si>
  <si>
    <t xml:space="preserve">         MARY JOY S. RAPUSO</t>
  </si>
  <si>
    <t>Volume III of Internal Operating Budget</t>
  </si>
  <si>
    <t>Benguet State University</t>
  </si>
  <si>
    <t>La Trinidad, Benguet</t>
  </si>
  <si>
    <t>OBJECT</t>
  </si>
  <si>
    <t>revolving fund 163</t>
  </si>
  <si>
    <t>Salaries and Wages-Part Time</t>
  </si>
  <si>
    <t>Salaries</t>
  </si>
  <si>
    <t>Clothing/Uniform Allowance</t>
  </si>
  <si>
    <t>Honoraria</t>
  </si>
  <si>
    <t>Overtime and Night Pay</t>
  </si>
  <si>
    <t>Cash Gift</t>
  </si>
  <si>
    <t>Year End Bonus</t>
  </si>
  <si>
    <t>Pag-ibig Contribution</t>
  </si>
  <si>
    <t>Philhealth Contribution</t>
  </si>
  <si>
    <t>SSS Contribution</t>
  </si>
  <si>
    <t>Legal Holidays Pay</t>
  </si>
  <si>
    <t>Service Incentive Pay</t>
  </si>
  <si>
    <t>Office Supplies</t>
  </si>
  <si>
    <t>Accountable Forms Expense</t>
  </si>
  <si>
    <t>Animal/Zoological Expense</t>
  </si>
  <si>
    <t>Gasoline, Oil, Lubricants</t>
  </si>
  <si>
    <t>Agricultural Expense Supplies</t>
  </si>
  <si>
    <t>Other Supplies Expense</t>
  </si>
  <si>
    <t>Water Expense</t>
  </si>
  <si>
    <t>Electricity Expense</t>
  </si>
  <si>
    <t>Cooking Gas Expense</t>
  </si>
  <si>
    <t>Telephone Expense-Landline</t>
  </si>
  <si>
    <t>Telephone Expense-Mobile</t>
  </si>
  <si>
    <t>Cable, Satellite, Telegraph</t>
  </si>
  <si>
    <t>Advertising Expense</t>
  </si>
  <si>
    <t>Printing &amp; Binding</t>
  </si>
  <si>
    <t>Rent Expense</t>
  </si>
  <si>
    <t>Transportation &amp; Delivery Expense</t>
  </si>
  <si>
    <t>Repair and Maintenance-Building</t>
  </si>
  <si>
    <t>Repair and Maintenance-Machineries</t>
  </si>
  <si>
    <t>Fidelity Bond Premium</t>
  </si>
  <si>
    <t>Other Maintenance &amp; Oper. Expenses</t>
  </si>
  <si>
    <t>GLADIOLA</t>
  </si>
  <si>
    <t>CENTER</t>
  </si>
  <si>
    <t xml:space="preserve">    Chief Administrative Officer</t>
  </si>
  <si>
    <t xml:space="preserve">             Certified Correct:</t>
  </si>
  <si>
    <t>Travelling Expenses</t>
  </si>
  <si>
    <t>Training Expenses</t>
  </si>
  <si>
    <t>Repair and Maintenance - Motor Vehicle</t>
  </si>
  <si>
    <t>CAPITAL OUTLAY</t>
  </si>
  <si>
    <t>Office Equipment</t>
  </si>
  <si>
    <t>Furniture and Fixtures</t>
  </si>
  <si>
    <t>Machineries</t>
  </si>
  <si>
    <t>MARKETING</t>
  </si>
  <si>
    <t>Budget Office</t>
  </si>
  <si>
    <t>Calamity Assistance</t>
  </si>
  <si>
    <t>GIFT SHOP</t>
  </si>
  <si>
    <t>SOUVENIR &amp;</t>
  </si>
  <si>
    <t>SOUVENIR</t>
  </si>
  <si>
    <t xml:space="preserve">SOUVENIR </t>
  </si>
  <si>
    <t>&amp; GIFT SHOP</t>
  </si>
  <si>
    <t xml:space="preserve">Statement of Allotment, Obligation and Balances </t>
  </si>
  <si>
    <t>Salaries &amp; Wages - Emergency</t>
  </si>
  <si>
    <t>Salaries and Wages - Emergency</t>
  </si>
  <si>
    <t xml:space="preserve">         BEN D. LADILAD</t>
  </si>
  <si>
    <t xml:space="preserve">                President</t>
  </si>
  <si>
    <t>Productivity Incentive Allowance</t>
  </si>
  <si>
    <t>Productivity Incentive Bonus</t>
  </si>
  <si>
    <t>CANTEEN 1</t>
  </si>
  <si>
    <t>(CHET)</t>
  </si>
  <si>
    <t xml:space="preserve">GLADIOLA </t>
  </si>
  <si>
    <t>Center</t>
  </si>
  <si>
    <t>(Chet Canteen)</t>
  </si>
  <si>
    <t>Hazard Pay</t>
  </si>
  <si>
    <t>Finance Division</t>
  </si>
  <si>
    <t>/veron</t>
  </si>
  <si>
    <t>Recommending Approval:</t>
  </si>
  <si>
    <t>CANTEEN 1 (CHET)</t>
  </si>
  <si>
    <t>ANIMAL Clinic</t>
  </si>
  <si>
    <t>GLADIOLA Center</t>
  </si>
  <si>
    <t>SOUVENIR &amp; Gift shop</t>
  </si>
  <si>
    <t>ANIMAL Hospital</t>
  </si>
  <si>
    <t>SOUVENIR &amp; Gift Shop</t>
  </si>
  <si>
    <t>CANTEEN 1 (Chet Canteen)</t>
  </si>
  <si>
    <t>CANTEEN 1 (CHET Canteen)</t>
  </si>
  <si>
    <t>AS OF DECEMBER 31,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</si>
</sst>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 JULIAN"/>
    </font>
    <font>
      <b/>
      <sz val="11"/>
      <color theme="1"/>
      <name val="Arial Black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 JULIAN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11"/>
      <color theme="1"/>
      <name val="AR JULIAN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8"/>
      <color theme="1"/>
      <name val="Bookman Old Style"/>
      <family val="1"/>
    </font>
    <font>
      <b/>
      <sz val="7"/>
      <color theme="1"/>
      <name val="Arial"/>
      <family val="2"/>
    </font>
    <font>
      <b/>
      <sz val="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left" indent="1"/>
    </xf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5" fillId="0" borderId="8" xfId="0" applyFont="1" applyBorder="1"/>
    <xf numFmtId="0" fontId="5" fillId="0" borderId="7" xfId="0" applyFont="1" applyBorder="1"/>
    <xf numFmtId="0" fontId="5" fillId="0" borderId="0" xfId="0" applyFont="1"/>
    <xf numFmtId="0" fontId="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11" fillId="0" borderId="10" xfId="0" applyFont="1" applyBorder="1"/>
    <xf numFmtId="0" fontId="11" fillId="0" borderId="11" xfId="0" applyFont="1" applyBorder="1"/>
    <xf numFmtId="0" fontId="11" fillId="0" borderId="7" xfId="0" applyFont="1" applyBorder="1"/>
    <xf numFmtId="0" fontId="11" fillId="0" borderId="8" xfId="0" applyFont="1" applyBorder="1"/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12" fillId="0" borderId="0" xfId="0" applyFont="1"/>
    <xf numFmtId="0" fontId="12" fillId="0" borderId="0" xfId="0" quotePrefix="1" applyFont="1" applyAlignment="1">
      <alignment horizontal="left"/>
    </xf>
    <xf numFmtId="0" fontId="12" fillId="0" borderId="0" xfId="0" applyFont="1" applyAlignment="1">
      <alignment horizontal="left"/>
    </xf>
    <xf numFmtId="0" fontId="11" fillId="0" borderId="3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5" fillId="0" borderId="0" xfId="0" applyFont="1"/>
    <xf numFmtId="0" fontId="11" fillId="0" borderId="0" xfId="0" applyFont="1"/>
    <xf numFmtId="43" fontId="11" fillId="0" borderId="0" xfId="0" applyNumberFormat="1" applyFont="1"/>
    <xf numFmtId="0" fontId="14" fillId="0" borderId="2" xfId="0" applyFont="1" applyBorder="1"/>
    <xf numFmtId="0" fontId="14" fillId="0" borderId="3" xfId="0" applyFont="1" applyBorder="1"/>
    <xf numFmtId="0" fontId="7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4" fillId="0" borderId="10" xfId="0" applyFont="1" applyBorder="1"/>
    <xf numFmtId="0" fontId="14" fillId="0" borderId="11" xfId="0" applyFont="1" applyBorder="1" applyAlignment="1">
      <alignment horizontal="center"/>
    </xf>
    <xf numFmtId="43" fontId="14" fillId="0" borderId="1" xfId="0" applyNumberFormat="1" applyFont="1" applyBorder="1"/>
    <xf numFmtId="43" fontId="14" fillId="0" borderId="11" xfId="0" applyNumberFormat="1" applyFont="1" applyBorder="1"/>
    <xf numFmtId="0" fontId="14" fillId="0" borderId="5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7" xfId="0" applyFont="1" applyBorder="1"/>
    <xf numFmtId="0" fontId="14" fillId="0" borderId="8" xfId="0" applyFont="1" applyBorder="1"/>
    <xf numFmtId="43" fontId="14" fillId="0" borderId="8" xfId="0" applyNumberFormat="1" applyFont="1" applyBorder="1"/>
    <xf numFmtId="43" fontId="14" fillId="0" borderId="8" xfId="1" applyFont="1" applyBorder="1"/>
    <xf numFmtId="0" fontId="17" fillId="0" borderId="11" xfId="0" applyFont="1" applyBorder="1"/>
    <xf numFmtId="43" fontId="14" fillId="0" borderId="1" xfId="1" applyFont="1" applyBorder="1"/>
    <xf numFmtId="0" fontId="17" fillId="0" borderId="10" xfId="0" applyFont="1" applyBorder="1"/>
    <xf numFmtId="43" fontId="14" fillId="0" borderId="6" xfId="1" applyFont="1" applyBorder="1"/>
    <xf numFmtId="0" fontId="17" fillId="0" borderId="14" xfId="0" applyFont="1" applyFill="1" applyBorder="1"/>
    <xf numFmtId="0" fontId="17" fillId="0" borderId="0" xfId="0" applyFont="1" applyBorder="1"/>
    <xf numFmtId="0" fontId="14" fillId="0" borderId="18" xfId="0" applyFont="1" applyBorder="1"/>
    <xf numFmtId="0" fontId="14" fillId="0" borderId="19" xfId="0" applyFont="1" applyBorder="1"/>
    <xf numFmtId="43" fontId="14" fillId="0" borderId="19" xfId="0" applyNumberFormat="1" applyFont="1" applyBorder="1"/>
    <xf numFmtId="43" fontId="14" fillId="0" borderId="19" xfId="1" applyFont="1" applyBorder="1"/>
    <xf numFmtId="0" fontId="9" fillId="0" borderId="14" xfId="0" applyFont="1" applyBorder="1"/>
    <xf numFmtId="0" fontId="10" fillId="0" borderId="0" xfId="0" applyFont="1" applyBorder="1"/>
    <xf numFmtId="0" fontId="9" fillId="0" borderId="0" xfId="0" applyFont="1" applyBorder="1"/>
    <xf numFmtId="0" fontId="10" fillId="0" borderId="13" xfId="0" applyFont="1" applyBorder="1"/>
    <xf numFmtId="0" fontId="11" fillId="0" borderId="24" xfId="0" applyFont="1" applyBorder="1"/>
    <xf numFmtId="0" fontId="14" fillId="0" borderId="25" xfId="0" applyFont="1" applyBorder="1"/>
    <xf numFmtId="0" fontId="14" fillId="0" borderId="26" xfId="0" applyFont="1" applyBorder="1"/>
    <xf numFmtId="0" fontId="16" fillId="0" borderId="0" xfId="0" applyFont="1" applyBorder="1"/>
    <xf numFmtId="0" fontId="0" fillId="0" borderId="17" xfId="0" applyBorder="1"/>
    <xf numFmtId="0" fontId="10" fillId="0" borderId="14" xfId="0" applyFont="1" applyBorder="1"/>
    <xf numFmtId="43" fontId="18" fillId="0" borderId="0" xfId="0" applyNumberFormat="1" applyFont="1"/>
    <xf numFmtId="0" fontId="2" fillId="0" borderId="12" xfId="0" applyFont="1" applyBorder="1" applyAlignment="1">
      <alignment horizontal="center"/>
    </xf>
    <xf numFmtId="43" fontId="6" fillId="0" borderId="6" xfId="1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3" fontId="7" fillId="0" borderId="8" xfId="0" applyNumberFormat="1" applyFont="1" applyBorder="1"/>
    <xf numFmtId="0" fontId="6" fillId="0" borderId="12" xfId="0" applyFont="1" applyBorder="1" applyAlignment="1">
      <alignment horizontal="center"/>
    </xf>
    <xf numFmtId="43" fontId="11" fillId="0" borderId="6" xfId="1" applyFont="1" applyBorder="1"/>
    <xf numFmtId="43" fontId="5" fillId="0" borderId="6" xfId="1" applyFont="1" applyBorder="1"/>
    <xf numFmtId="0" fontId="11" fillId="0" borderId="1" xfId="0" applyFont="1" applyBorder="1"/>
    <xf numFmtId="0" fontId="11" fillId="0" borderId="5" xfId="0" applyFont="1" applyBorder="1"/>
    <xf numFmtId="43" fontId="14" fillId="0" borderId="11" xfId="1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4" fillId="0" borderId="21" xfId="0" applyFont="1" applyBorder="1"/>
    <xf numFmtId="0" fontId="5" fillId="0" borderId="22" xfId="0" applyFont="1" applyBorder="1"/>
    <xf numFmtId="0" fontId="17" fillId="0" borderId="27" xfId="0" applyFont="1" applyBorder="1"/>
    <xf numFmtId="0" fontId="17" fillId="0" borderId="29" xfId="0" applyFont="1" applyBorder="1"/>
    <xf numFmtId="0" fontId="14" fillId="0" borderId="30" xfId="0" applyFont="1" applyBorder="1" applyAlignment="1">
      <alignment horizontal="center"/>
    </xf>
    <xf numFmtId="0" fontId="5" fillId="0" borderId="31" xfId="0" applyFont="1" applyBorder="1"/>
    <xf numFmtId="0" fontId="17" fillId="0" borderId="32" xfId="0" applyFont="1" applyBorder="1"/>
    <xf numFmtId="43" fontId="14" fillId="0" borderId="33" xfId="0" applyNumberFormat="1" applyFont="1" applyBorder="1"/>
    <xf numFmtId="0" fontId="17" fillId="0" borderId="33" xfId="0" applyFont="1" applyBorder="1"/>
    <xf numFmtId="43" fontId="14" fillId="0" borderId="31" xfId="0" applyNumberFormat="1" applyFont="1" applyBorder="1"/>
    <xf numFmtId="0" fontId="14" fillId="0" borderId="34" xfId="0" applyFont="1" applyBorder="1" applyAlignment="1">
      <alignment horizontal="center"/>
    </xf>
    <xf numFmtId="0" fontId="5" fillId="0" borderId="35" xfId="0" applyFont="1" applyBorder="1"/>
    <xf numFmtId="0" fontId="17" fillId="0" borderId="36" xfId="0" applyFont="1" applyBorder="1"/>
    <xf numFmtId="43" fontId="14" fillId="0" borderId="36" xfId="0" applyNumberFormat="1" applyFont="1" applyBorder="1"/>
    <xf numFmtId="0" fontId="17" fillId="0" borderId="37" xfId="0" applyFont="1" applyBorder="1"/>
    <xf numFmtId="43" fontId="14" fillId="0" borderId="35" xfId="0" applyNumberFormat="1" applyFont="1" applyBorder="1"/>
    <xf numFmtId="0" fontId="5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43" fontId="17" fillId="0" borderId="33" xfId="1" applyFont="1" applyBorder="1"/>
    <xf numFmtId="43" fontId="14" fillId="0" borderId="31" xfId="1" applyFont="1" applyBorder="1"/>
    <xf numFmtId="0" fontId="14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4" fillId="0" borderId="24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14" fillId="0" borderId="28" xfId="0" applyFont="1" applyBorder="1"/>
    <xf numFmtId="0" fontId="14" fillId="0" borderId="32" xfId="0" applyFont="1" applyBorder="1"/>
    <xf numFmtId="0" fontId="14" fillId="0" borderId="33" xfId="0" applyFont="1" applyBorder="1"/>
    <xf numFmtId="0" fontId="14" fillId="0" borderId="31" xfId="0" applyFont="1" applyBorder="1"/>
    <xf numFmtId="0" fontId="14" fillId="0" borderId="36" xfId="0" applyFont="1" applyBorder="1"/>
    <xf numFmtId="0" fontId="14" fillId="0" borderId="37" xfId="0" applyFont="1" applyBorder="1"/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7" fillId="0" borderId="45" xfId="0" applyFont="1" applyBorder="1"/>
    <xf numFmtId="43" fontId="14" fillId="0" borderId="32" xfId="0" applyNumberFormat="1" applyFont="1" applyBorder="1"/>
    <xf numFmtId="43" fontId="14" fillId="0" borderId="45" xfId="0" applyNumberFormat="1" applyFont="1" applyBorder="1"/>
    <xf numFmtId="43" fontId="14" fillId="0" borderId="37" xfId="0" applyNumberFormat="1" applyFont="1" applyBorder="1"/>
    <xf numFmtId="43" fontId="14" fillId="0" borderId="22" xfId="0" applyNumberFormat="1" applyFont="1" applyBorder="1"/>
    <xf numFmtId="43" fontId="14" fillId="0" borderId="32" xfId="1" applyFont="1" applyBorder="1" applyAlignment="1">
      <alignment horizontal="center"/>
    </xf>
    <xf numFmtId="43" fontId="14" fillId="0" borderId="33" xfId="1" applyFont="1" applyBorder="1"/>
    <xf numFmtId="43" fontId="17" fillId="0" borderId="32" xfId="1" applyFont="1" applyBorder="1"/>
    <xf numFmtId="0" fontId="14" fillId="0" borderId="35" xfId="0" applyFont="1" applyBorder="1"/>
    <xf numFmtId="0" fontId="5" fillId="0" borderId="45" xfId="0" applyFont="1" applyBorder="1"/>
    <xf numFmtId="0" fontId="5" fillId="0" borderId="13" xfId="0" applyFont="1" applyBorder="1"/>
    <xf numFmtId="0" fontId="5" fillId="0" borderId="45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45" xfId="0" applyFont="1" applyBorder="1"/>
    <xf numFmtId="0" fontId="11" fillId="0" borderId="4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13" xfId="0" applyFont="1" applyBorder="1"/>
    <xf numFmtId="0" fontId="14" fillId="0" borderId="47" xfId="0" applyFont="1" applyBorder="1"/>
    <xf numFmtId="0" fontId="14" fillId="0" borderId="4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11" fillId="0" borderId="0" xfId="0" applyFont="1" applyBorder="1"/>
    <xf numFmtId="43" fontId="11" fillId="0" borderId="0" xfId="0" applyNumberFormat="1" applyFont="1" applyBorder="1"/>
    <xf numFmtId="43" fontId="11" fillId="0" borderId="0" xfId="1" applyFont="1" applyBorder="1"/>
    <xf numFmtId="0" fontId="14" fillId="0" borderId="49" xfId="0" applyFont="1" applyBorder="1"/>
    <xf numFmtId="0" fontId="14" fillId="0" borderId="50" xfId="0" applyFont="1" applyBorder="1"/>
    <xf numFmtId="43" fontId="14" fillId="0" borderId="50" xfId="1" applyFont="1" applyBorder="1"/>
    <xf numFmtId="43" fontId="14" fillId="0" borderId="51" xfId="1" applyFont="1" applyBorder="1"/>
    <xf numFmtId="0" fontId="14" fillId="0" borderId="52" xfId="0" applyFont="1" applyBorder="1"/>
    <xf numFmtId="0" fontId="14" fillId="0" borderId="53" xfId="0" applyFont="1" applyBorder="1"/>
    <xf numFmtId="43" fontId="19" fillId="0" borderId="0" xfId="0" applyNumberFormat="1" applyFont="1"/>
    <xf numFmtId="43" fontId="14" fillId="0" borderId="41" xfId="1" applyFont="1" applyBorder="1"/>
    <xf numFmtId="43" fontId="14" fillId="0" borderId="39" xfId="1" applyFont="1" applyBorder="1"/>
    <xf numFmtId="43" fontId="14" fillId="0" borderId="53" xfId="0" applyNumberFormat="1" applyFont="1" applyBorder="1" applyAlignment="1">
      <alignment vertical="center"/>
    </xf>
    <xf numFmtId="43" fontId="14" fillId="0" borderId="53" xfId="1" applyFont="1" applyBorder="1" applyAlignment="1">
      <alignment vertical="center"/>
    </xf>
    <xf numFmtId="43" fontId="14" fillId="0" borderId="54" xfId="1" applyFont="1" applyBorder="1" applyAlignment="1">
      <alignment vertical="center"/>
    </xf>
    <xf numFmtId="43" fontId="14" fillId="0" borderId="19" xfId="0" applyNumberFormat="1" applyFont="1" applyBorder="1" applyAlignment="1">
      <alignment vertical="center"/>
    </xf>
    <xf numFmtId="43" fontId="14" fillId="0" borderId="19" xfId="1" applyFont="1" applyBorder="1" applyAlignment="1">
      <alignment vertical="center"/>
    </xf>
    <xf numFmtId="43" fontId="14" fillId="0" borderId="20" xfId="1" applyFont="1" applyBorder="1" applyAlignment="1">
      <alignment vertical="center"/>
    </xf>
    <xf numFmtId="0" fontId="11" fillId="0" borderId="12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0" fillId="0" borderId="16" xfId="0" applyBorder="1"/>
    <xf numFmtId="0" fontId="0" fillId="0" borderId="13" xfId="0" applyBorder="1"/>
    <xf numFmtId="43" fontId="7" fillId="0" borderId="13" xfId="0" applyNumberFormat="1" applyFont="1" applyBorder="1"/>
    <xf numFmtId="0" fontId="7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0" fillId="0" borderId="45" xfId="0" applyBorder="1"/>
    <xf numFmtId="43" fontId="7" fillId="0" borderId="45" xfId="0" applyNumberFormat="1" applyFont="1" applyBorder="1"/>
    <xf numFmtId="0" fontId="7" fillId="0" borderId="4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4" fillId="0" borderId="46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45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20" fillId="0" borderId="56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43" fontId="14" fillId="0" borderId="40" xfId="1" applyFont="1" applyBorder="1"/>
    <xf numFmtId="0" fontId="25" fillId="0" borderId="14" xfId="0" applyFont="1" applyBorder="1"/>
    <xf numFmtId="0" fontId="23" fillId="0" borderId="56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14" fillId="0" borderId="1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43" fontId="14" fillId="0" borderId="33" xfId="0" applyNumberFormat="1" applyFont="1" applyBorder="1" applyAlignment="1">
      <alignment vertical="center"/>
    </xf>
    <xf numFmtId="43" fontId="14" fillId="0" borderId="36" xfId="0" applyNumberFormat="1" applyFont="1" applyBorder="1" applyAlignment="1">
      <alignment vertical="center"/>
    </xf>
    <xf numFmtId="43" fontId="14" fillId="0" borderId="32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23" xfId="0" applyFont="1" applyBorder="1" applyAlignment="1">
      <alignment horizontal="center" vertical="center"/>
    </xf>
    <xf numFmtId="0" fontId="14" fillId="0" borderId="33" xfId="0" applyFont="1" applyBorder="1" applyAlignment="1">
      <alignment vertical="center"/>
    </xf>
    <xf numFmtId="0" fontId="14" fillId="0" borderId="37" xfId="0" applyFont="1" applyBorder="1" applyAlignment="1">
      <alignment vertical="center"/>
    </xf>
    <xf numFmtId="0" fontId="14" fillId="0" borderId="33" xfId="0" applyFont="1" applyBorder="1" applyAlignment="1">
      <alignment horizontal="center" vertical="center"/>
    </xf>
    <xf numFmtId="43" fontId="14" fillId="0" borderId="37" xfId="0" applyNumberFormat="1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7" fillId="0" borderId="23" xfId="0" applyFont="1" applyBorder="1" applyAlignment="1">
      <alignment vertical="center"/>
    </xf>
    <xf numFmtId="0" fontId="17" fillId="0" borderId="33" xfId="0" applyFont="1" applyBorder="1" applyAlignment="1">
      <alignment vertical="center"/>
    </xf>
    <xf numFmtId="0" fontId="17" fillId="0" borderId="37" xfId="0" applyFont="1" applyBorder="1" applyAlignment="1">
      <alignment vertical="center"/>
    </xf>
    <xf numFmtId="43" fontId="17" fillId="0" borderId="33" xfId="1" applyFont="1" applyBorder="1" applyAlignment="1">
      <alignment vertical="center"/>
    </xf>
    <xf numFmtId="43" fontId="17" fillId="0" borderId="44" xfId="1" applyFont="1" applyBorder="1" applyAlignment="1">
      <alignment vertical="center"/>
    </xf>
    <xf numFmtId="43" fontId="17" fillId="0" borderId="41" xfId="1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43" fontId="14" fillId="0" borderId="31" xfId="0" applyNumberFormat="1" applyFont="1" applyBorder="1" applyAlignment="1">
      <alignment vertical="center"/>
    </xf>
    <xf numFmtId="43" fontId="14" fillId="0" borderId="35" xfId="0" applyNumberFormat="1" applyFont="1" applyBorder="1" applyAlignment="1">
      <alignment vertical="center"/>
    </xf>
    <xf numFmtId="43" fontId="14" fillId="0" borderId="31" xfId="1" applyFont="1" applyBorder="1" applyAlignment="1">
      <alignment vertical="center"/>
    </xf>
    <xf numFmtId="0" fontId="26" fillId="0" borderId="45" xfId="0" applyFont="1" applyBorder="1"/>
    <xf numFmtId="0" fontId="27" fillId="0" borderId="46" xfId="0" applyFont="1" applyBorder="1"/>
    <xf numFmtId="0" fontId="17" fillId="0" borderId="32" xfId="0" applyFont="1" applyBorder="1" applyAlignment="1">
      <alignment horizontal="center" wrapText="1"/>
    </xf>
    <xf numFmtId="0" fontId="11" fillId="0" borderId="57" xfId="0" applyFont="1" applyBorder="1"/>
    <xf numFmtId="0" fontId="11" fillId="0" borderId="58" xfId="0" applyFont="1" applyBorder="1"/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/>
    </xf>
    <xf numFmtId="0" fontId="14" fillId="0" borderId="57" xfId="0" applyFont="1" applyBorder="1" applyAlignment="1">
      <alignment horizontal="center" wrapText="1"/>
    </xf>
    <xf numFmtId="0" fontId="11" fillId="0" borderId="57" xfId="0" applyFont="1" applyBorder="1" applyAlignment="1">
      <alignment horizont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9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zoomScaleNormal="100" workbookViewId="0">
      <selection activeCell="T53" sqref="T53"/>
    </sheetView>
  </sheetViews>
  <sheetFormatPr defaultRowHeight="15"/>
  <cols>
    <col min="1" max="1" width="27.5703125" customWidth="1"/>
    <col min="2" max="2" width="0.140625" customWidth="1"/>
    <col min="3" max="3" width="5.7109375" customWidth="1"/>
    <col min="4" max="4" width="12.42578125" customWidth="1"/>
    <col min="5" max="5" width="0.85546875" hidden="1" customWidth="1"/>
    <col min="6" max="6" width="11.42578125" customWidth="1"/>
    <col min="7" max="7" width="11.85546875" customWidth="1"/>
    <col min="8" max="8" width="11.42578125" customWidth="1"/>
    <col min="9" max="9" width="11.140625" customWidth="1"/>
    <col min="10" max="10" width="11.7109375" customWidth="1"/>
    <col min="11" max="11" width="11.42578125" customWidth="1"/>
    <col min="12" max="12" width="11.140625" customWidth="1"/>
    <col min="13" max="13" width="11.85546875" customWidth="1"/>
    <col min="14" max="14" width="13.5703125" customWidth="1"/>
    <col min="15" max="15" width="12.42578125" customWidth="1"/>
  </cols>
  <sheetData>
    <row r="1" spans="1:14">
      <c r="A1" s="25" t="s">
        <v>19</v>
      </c>
    </row>
    <row r="2" spans="1:14">
      <c r="A2" s="245" t="s">
        <v>20</v>
      </c>
      <c r="B2" s="245"/>
      <c r="C2" s="245"/>
      <c r="D2" s="245"/>
      <c r="E2" s="245"/>
      <c r="F2" s="245"/>
      <c r="G2" s="83"/>
    </row>
    <row r="3" spans="1:14">
      <c r="A3" s="246" t="s">
        <v>21</v>
      </c>
      <c r="B3" s="245"/>
      <c r="C3" s="245"/>
      <c r="D3" s="245"/>
      <c r="E3" s="245"/>
      <c r="F3" s="245"/>
      <c r="G3" s="83"/>
    </row>
    <row r="4" spans="1:14">
      <c r="A4" s="26"/>
      <c r="B4" s="27"/>
      <c r="C4" s="27"/>
      <c r="D4" s="27"/>
      <c r="E4" s="27"/>
      <c r="F4" s="27"/>
      <c r="G4" s="83"/>
    </row>
    <row r="5" spans="1:14" ht="15.75">
      <c r="A5" s="244" t="s">
        <v>75</v>
      </c>
      <c r="B5" s="244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</row>
    <row r="6" spans="1:14" ht="15.75">
      <c r="A6" s="242" t="s">
        <v>0</v>
      </c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</row>
    <row r="7" spans="1:14" ht="15.75">
      <c r="A7" s="242" t="s">
        <v>3</v>
      </c>
      <c r="B7" s="242"/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</row>
    <row r="8" spans="1:14" ht="15.75">
      <c r="A8" s="247" t="s">
        <v>11</v>
      </c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</row>
    <row r="9" spans="1:14" s="7" customFormat="1" ht="18.75">
      <c r="A9" s="241" t="s">
        <v>99</v>
      </c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</row>
    <row r="10" spans="1:14" ht="15.75" thickBot="1">
      <c r="A10" s="2"/>
      <c r="B10" s="1"/>
      <c r="C10" s="1"/>
      <c r="D10" s="1"/>
      <c r="E10" s="16"/>
      <c r="F10" s="1"/>
      <c r="G10" s="16"/>
      <c r="H10" s="16"/>
      <c r="I10" s="1"/>
      <c r="J10" s="1"/>
      <c r="K10" s="1"/>
      <c r="L10" s="1"/>
    </row>
    <row r="11" spans="1:14">
      <c r="A11" s="132" t="s">
        <v>1</v>
      </c>
      <c r="B11" s="63"/>
      <c r="C11" s="216" t="s">
        <v>22</v>
      </c>
      <c r="D11" s="132" t="s">
        <v>4</v>
      </c>
      <c r="E11" s="136"/>
      <c r="F11" s="177" t="s">
        <v>12</v>
      </c>
      <c r="G11" s="132" t="s">
        <v>17</v>
      </c>
      <c r="H11" s="132" t="s">
        <v>82</v>
      </c>
      <c r="I11" s="132" t="s">
        <v>56</v>
      </c>
      <c r="J11" s="132" t="s">
        <v>13</v>
      </c>
      <c r="K11" s="132" t="s">
        <v>14</v>
      </c>
      <c r="L11" s="132" t="s">
        <v>16</v>
      </c>
      <c r="M11" s="132" t="s">
        <v>67</v>
      </c>
      <c r="N11" s="132" t="s">
        <v>71</v>
      </c>
    </row>
    <row r="12" spans="1:14" ht="15.75" thickBot="1">
      <c r="A12" s="133"/>
      <c r="B12" s="137"/>
      <c r="C12" s="215" t="s">
        <v>2</v>
      </c>
      <c r="D12" s="133"/>
      <c r="E12" s="137"/>
      <c r="F12" s="134"/>
      <c r="G12" s="134"/>
      <c r="H12" s="134" t="s">
        <v>83</v>
      </c>
      <c r="I12" s="134" t="s">
        <v>57</v>
      </c>
      <c r="J12" s="134"/>
      <c r="K12" s="134" t="s">
        <v>15</v>
      </c>
      <c r="L12" s="134"/>
      <c r="M12" s="134" t="s">
        <v>57</v>
      </c>
      <c r="N12" s="134" t="s">
        <v>70</v>
      </c>
    </row>
    <row r="13" spans="1:14" ht="3.75" customHeight="1" thickBot="1">
      <c r="A13" s="129"/>
      <c r="B13" s="130"/>
      <c r="C13" s="129"/>
      <c r="D13" s="129"/>
      <c r="E13" s="130"/>
      <c r="F13" s="131"/>
      <c r="G13" s="131"/>
      <c r="H13" s="131"/>
      <c r="I13" s="131"/>
      <c r="J13" s="131"/>
      <c r="K13" s="131"/>
      <c r="L13" s="131"/>
      <c r="M13" s="135"/>
      <c r="N13" s="131"/>
    </row>
    <row r="14" spans="1:14">
      <c r="A14" s="113" t="s">
        <v>24</v>
      </c>
      <c r="B14" s="116"/>
      <c r="C14" s="118">
        <v>703</v>
      </c>
      <c r="D14" s="121">
        <f>SUM(F14:N14)</f>
        <v>75000</v>
      </c>
      <c r="E14" s="98"/>
      <c r="F14" s="125"/>
      <c r="G14" s="125"/>
      <c r="H14" s="125"/>
      <c r="I14" s="125"/>
      <c r="J14" s="125"/>
      <c r="K14" s="125"/>
      <c r="L14" s="125">
        <v>75000</v>
      </c>
      <c r="M14" s="125"/>
      <c r="N14" s="125"/>
    </row>
    <row r="15" spans="1:14">
      <c r="A15" s="114" t="s">
        <v>25</v>
      </c>
      <c r="B15" s="117"/>
      <c r="C15" s="119">
        <v>706</v>
      </c>
      <c r="D15" s="121">
        <f t="shared" ref="D15:D29" si="0">SUM(F15:N15)</f>
        <v>2066588</v>
      </c>
      <c r="E15" s="123"/>
      <c r="F15" s="126">
        <v>110592</v>
      </c>
      <c r="G15" s="126">
        <v>233664</v>
      </c>
      <c r="H15" s="126">
        <v>647280</v>
      </c>
      <c r="I15" s="126">
        <v>197952</v>
      </c>
      <c r="J15" s="126">
        <v>197952</v>
      </c>
      <c r="K15" s="126">
        <v>23232</v>
      </c>
      <c r="L15" s="126">
        <v>110592</v>
      </c>
      <c r="M15" s="126">
        <v>523824</v>
      </c>
      <c r="N15" s="126">
        <v>21500</v>
      </c>
    </row>
    <row r="16" spans="1:14">
      <c r="A16" s="114" t="s">
        <v>76</v>
      </c>
      <c r="B16" s="117"/>
      <c r="C16" s="119">
        <v>707</v>
      </c>
      <c r="D16" s="121">
        <f t="shared" si="0"/>
        <v>35000</v>
      </c>
      <c r="E16" s="123"/>
      <c r="F16" s="126"/>
      <c r="G16" s="126">
        <v>15000</v>
      </c>
      <c r="H16" s="126">
        <v>20000</v>
      </c>
      <c r="I16" s="126"/>
      <c r="J16" s="126"/>
      <c r="K16" s="126"/>
      <c r="L16" s="126"/>
      <c r="M16" s="126"/>
      <c r="N16" s="126"/>
    </row>
    <row r="17" spans="1:14">
      <c r="A17" s="114" t="s">
        <v>26</v>
      </c>
      <c r="B17" s="117"/>
      <c r="C17" s="119">
        <v>715</v>
      </c>
      <c r="D17" s="121">
        <f t="shared" si="0"/>
        <v>18000</v>
      </c>
      <c r="E17" s="123"/>
      <c r="F17" s="126">
        <v>2000</v>
      </c>
      <c r="G17" s="126">
        <v>4000</v>
      </c>
      <c r="H17" s="126"/>
      <c r="I17" s="126">
        <v>4000</v>
      </c>
      <c r="J17" s="126">
        <v>4000</v>
      </c>
      <c r="K17" s="126"/>
      <c r="L17" s="126">
        <v>4000</v>
      </c>
      <c r="M17" s="126"/>
      <c r="N17" s="126"/>
    </row>
    <row r="18" spans="1:14">
      <c r="A18" s="114" t="s">
        <v>27</v>
      </c>
      <c r="B18" s="117"/>
      <c r="C18" s="119">
        <v>720</v>
      </c>
      <c r="D18" s="121">
        <f t="shared" si="0"/>
        <v>27562.5</v>
      </c>
      <c r="E18" s="123"/>
      <c r="F18" s="126"/>
      <c r="G18" s="126"/>
      <c r="H18" s="126"/>
      <c r="I18" s="126"/>
      <c r="J18" s="126"/>
      <c r="K18" s="126">
        <v>27562.5</v>
      </c>
      <c r="L18" s="126"/>
      <c r="M18" s="126"/>
      <c r="N18" s="126"/>
    </row>
    <row r="19" spans="1:14">
      <c r="A19" s="114" t="s">
        <v>80</v>
      </c>
      <c r="B19" s="117"/>
      <c r="C19" s="119">
        <v>717</v>
      </c>
      <c r="D19" s="121">
        <f t="shared" si="0"/>
        <v>17000</v>
      </c>
      <c r="E19" s="123"/>
      <c r="F19" s="92">
        <v>4000</v>
      </c>
      <c r="G19" s="92">
        <v>2000</v>
      </c>
      <c r="H19" s="126"/>
      <c r="I19" s="126">
        <v>5000</v>
      </c>
      <c r="J19" s="126">
        <v>2000</v>
      </c>
      <c r="K19" s="126"/>
      <c r="L19" s="126">
        <v>2000</v>
      </c>
      <c r="M19" s="126">
        <v>2000</v>
      </c>
      <c r="N19" s="126"/>
    </row>
    <row r="20" spans="1:14">
      <c r="A20" s="114" t="s">
        <v>87</v>
      </c>
      <c r="B20" s="117"/>
      <c r="C20" s="119">
        <v>721</v>
      </c>
      <c r="D20" s="121"/>
      <c r="E20" s="123"/>
      <c r="F20" s="92"/>
      <c r="G20" s="92"/>
      <c r="H20" s="126"/>
      <c r="I20" s="126"/>
      <c r="J20" s="126"/>
      <c r="K20" s="126"/>
      <c r="L20" s="126"/>
      <c r="M20" s="126"/>
      <c r="N20" s="126"/>
    </row>
    <row r="21" spans="1:14">
      <c r="A21" s="114" t="s">
        <v>28</v>
      </c>
      <c r="B21" s="117"/>
      <c r="C21" s="119">
        <v>723</v>
      </c>
      <c r="D21" s="121">
        <f t="shared" si="0"/>
        <v>212000</v>
      </c>
      <c r="E21" s="123"/>
      <c r="F21" s="92">
        <v>65000</v>
      </c>
      <c r="G21" s="92">
        <v>10000</v>
      </c>
      <c r="H21" s="126">
        <v>112000</v>
      </c>
      <c r="I21" s="126">
        <v>20000</v>
      </c>
      <c r="J21" s="126">
        <v>5000</v>
      </c>
      <c r="K21" s="126"/>
      <c r="L21" s="126"/>
      <c r="M21" s="126"/>
      <c r="N21" s="126"/>
    </row>
    <row r="22" spans="1:14">
      <c r="A22" s="114" t="s">
        <v>29</v>
      </c>
      <c r="B22" s="117"/>
      <c r="C22" s="119">
        <v>724</v>
      </c>
      <c r="D22" s="121">
        <f t="shared" si="0"/>
        <v>64500</v>
      </c>
      <c r="E22" s="123"/>
      <c r="F22" s="92">
        <v>6000</v>
      </c>
      <c r="G22" s="92">
        <v>11000</v>
      </c>
      <c r="H22" s="126"/>
      <c r="I22" s="126">
        <v>11000</v>
      </c>
      <c r="J22" s="126">
        <v>6000</v>
      </c>
      <c r="K22" s="126">
        <v>1000</v>
      </c>
      <c r="L22" s="126">
        <v>1500</v>
      </c>
      <c r="M22" s="126">
        <v>27000</v>
      </c>
      <c r="N22" s="126">
        <v>1000</v>
      </c>
    </row>
    <row r="23" spans="1:14">
      <c r="A23" s="114" t="s">
        <v>30</v>
      </c>
      <c r="B23" s="117"/>
      <c r="C23" s="119">
        <v>725</v>
      </c>
      <c r="D23" s="121">
        <f t="shared" si="0"/>
        <v>114092</v>
      </c>
      <c r="E23" s="123"/>
      <c r="F23" s="92">
        <v>9216</v>
      </c>
      <c r="G23" s="92">
        <v>19472</v>
      </c>
      <c r="H23" s="126"/>
      <c r="I23" s="126">
        <v>16600</v>
      </c>
      <c r="J23" s="126">
        <v>11936</v>
      </c>
      <c r="K23" s="126">
        <v>2000</v>
      </c>
      <c r="L23" s="126">
        <v>9216</v>
      </c>
      <c r="M23" s="126">
        <v>43652</v>
      </c>
      <c r="N23" s="126">
        <v>2000</v>
      </c>
    </row>
    <row r="24" spans="1:14">
      <c r="A24" s="114" t="s">
        <v>31</v>
      </c>
      <c r="B24" s="117"/>
      <c r="C24" s="119">
        <v>732</v>
      </c>
      <c r="D24" s="121">
        <f t="shared" si="0"/>
        <v>17060</v>
      </c>
      <c r="E24" s="123"/>
      <c r="F24" s="92">
        <v>1440</v>
      </c>
      <c r="G24" s="92">
        <v>2880</v>
      </c>
      <c r="H24" s="126"/>
      <c r="I24" s="126">
        <v>2640</v>
      </c>
      <c r="J24" s="126">
        <v>1440</v>
      </c>
      <c r="K24" s="126">
        <v>240</v>
      </c>
      <c r="L24" s="126">
        <v>1440</v>
      </c>
      <c r="M24" s="126">
        <v>6480</v>
      </c>
      <c r="N24" s="126">
        <v>500</v>
      </c>
    </row>
    <row r="25" spans="1:14">
      <c r="A25" s="114" t="s">
        <v>32</v>
      </c>
      <c r="B25" s="117"/>
      <c r="C25" s="119">
        <v>733</v>
      </c>
      <c r="D25" s="121">
        <f t="shared" si="0"/>
        <v>17925</v>
      </c>
      <c r="E25" s="123"/>
      <c r="F25" s="92">
        <v>1500</v>
      </c>
      <c r="G25" s="92">
        <v>2700</v>
      </c>
      <c r="H25" s="126"/>
      <c r="I25" s="126">
        <v>2700</v>
      </c>
      <c r="J25" s="126">
        <v>2700</v>
      </c>
      <c r="K25" s="126">
        <v>300</v>
      </c>
      <c r="L25" s="126">
        <v>1500</v>
      </c>
      <c r="M25" s="126">
        <v>6300</v>
      </c>
      <c r="N25" s="126">
        <v>225</v>
      </c>
    </row>
    <row r="26" spans="1:14">
      <c r="A26" s="114" t="s">
        <v>33</v>
      </c>
      <c r="B26" s="117"/>
      <c r="C26" s="119">
        <v>749</v>
      </c>
      <c r="D26" s="121">
        <f t="shared" ref="D26:D28" si="1">SUM(F26:N26)</f>
        <v>0</v>
      </c>
      <c r="E26" s="123"/>
      <c r="F26" s="92"/>
      <c r="G26" s="92"/>
      <c r="H26" s="126"/>
      <c r="I26" s="126"/>
      <c r="J26" s="126"/>
      <c r="K26" s="126"/>
      <c r="L26" s="126"/>
      <c r="M26" s="126"/>
      <c r="N26" s="126"/>
    </row>
    <row r="27" spans="1:14">
      <c r="A27" s="114" t="s">
        <v>34</v>
      </c>
      <c r="B27" s="117"/>
      <c r="C27" s="119">
        <v>749</v>
      </c>
      <c r="D27" s="92">
        <f t="shared" si="1"/>
        <v>0</v>
      </c>
      <c r="E27" s="123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1:14">
      <c r="A28" s="114" t="s">
        <v>69</v>
      </c>
      <c r="B28" s="117"/>
      <c r="C28" s="119">
        <v>749</v>
      </c>
      <c r="D28" s="92">
        <f t="shared" si="1"/>
        <v>0</v>
      </c>
      <c r="E28" s="123"/>
      <c r="F28" s="126"/>
      <c r="G28" s="126"/>
      <c r="H28" s="126"/>
      <c r="I28" s="126"/>
      <c r="J28" s="126"/>
      <c r="K28" s="126"/>
      <c r="L28" s="126"/>
      <c r="M28" s="126"/>
      <c r="N28" s="126"/>
    </row>
    <row r="29" spans="1:14" ht="15.75" thickBot="1">
      <c r="A29" s="114" t="s">
        <v>34</v>
      </c>
      <c r="B29" s="117"/>
      <c r="C29" s="119">
        <v>749</v>
      </c>
      <c r="D29" s="122">
        <f t="shared" si="0"/>
        <v>537640</v>
      </c>
      <c r="E29" s="123"/>
      <c r="F29" s="92">
        <v>87500</v>
      </c>
      <c r="G29" s="92">
        <v>22528</v>
      </c>
      <c r="H29" s="126">
        <v>114000</v>
      </c>
      <c r="I29" s="126">
        <v>77528</v>
      </c>
      <c r="J29" s="126">
        <v>50000</v>
      </c>
      <c r="K29" s="126">
        <v>87528</v>
      </c>
      <c r="L29" s="126">
        <v>45528</v>
      </c>
      <c r="M29" s="126">
        <v>52528</v>
      </c>
      <c r="N29" s="126">
        <v>500</v>
      </c>
    </row>
    <row r="30" spans="1:14" ht="2.25" customHeight="1" thickBot="1">
      <c r="A30" s="91"/>
      <c r="B30" s="97"/>
      <c r="C30" s="120"/>
      <c r="D30" s="88"/>
      <c r="E30" s="87"/>
      <c r="F30" s="127"/>
      <c r="G30" s="127"/>
      <c r="H30" s="127"/>
      <c r="I30" s="127"/>
      <c r="J30" s="127"/>
      <c r="K30" s="127"/>
      <c r="L30" s="127"/>
      <c r="M30" s="127"/>
      <c r="N30" s="127"/>
    </row>
    <row r="31" spans="1:14" ht="15.75" thickBot="1">
      <c r="A31" s="115" t="s">
        <v>4</v>
      </c>
      <c r="B31" s="112"/>
      <c r="C31" s="56"/>
      <c r="D31" s="48">
        <f>SUM(D14:D29)</f>
        <v>3202367.5</v>
      </c>
      <c r="E31" s="124"/>
      <c r="F31" s="104">
        <f>SUM(F14:F29)</f>
        <v>287248</v>
      </c>
      <c r="G31" s="104">
        <f t="shared" ref="G31:N31" si="2">SUM(G14:G29)</f>
        <v>323244</v>
      </c>
      <c r="H31" s="104">
        <f t="shared" si="2"/>
        <v>893280</v>
      </c>
      <c r="I31" s="104">
        <f t="shared" si="2"/>
        <v>337420</v>
      </c>
      <c r="J31" s="104">
        <f t="shared" si="2"/>
        <v>281028</v>
      </c>
      <c r="K31" s="104">
        <f t="shared" si="2"/>
        <v>141862.5</v>
      </c>
      <c r="L31" s="104">
        <f t="shared" si="2"/>
        <v>250776</v>
      </c>
      <c r="M31" s="104">
        <f t="shared" si="2"/>
        <v>661784</v>
      </c>
      <c r="N31" s="104">
        <f t="shared" si="2"/>
        <v>25725</v>
      </c>
    </row>
    <row r="32" spans="1:14">
      <c r="D32" s="17"/>
      <c r="E32" s="17"/>
    </row>
    <row r="34" spans="1:14">
      <c r="A34" s="243"/>
      <c r="B34" s="243"/>
      <c r="C34" s="243"/>
      <c r="D34" s="243"/>
      <c r="E34" s="243"/>
      <c r="F34" s="243"/>
      <c r="G34" s="243"/>
      <c r="H34" s="243"/>
      <c r="I34" s="243"/>
      <c r="J34" s="243"/>
      <c r="K34" s="243"/>
      <c r="L34" s="243"/>
    </row>
    <row r="35" spans="1:14">
      <c r="A35" s="25" t="s">
        <v>19</v>
      </c>
    </row>
    <row r="36" spans="1:14">
      <c r="A36" s="245" t="s">
        <v>20</v>
      </c>
      <c r="B36" s="245"/>
      <c r="C36" s="245"/>
      <c r="D36" s="245"/>
      <c r="E36" s="245"/>
      <c r="F36" s="245"/>
      <c r="G36" s="83"/>
    </row>
    <row r="37" spans="1:14">
      <c r="A37" s="246" t="s">
        <v>21</v>
      </c>
      <c r="B37" s="245"/>
      <c r="C37" s="245"/>
      <c r="D37" s="245"/>
      <c r="E37" s="245"/>
      <c r="F37" s="245"/>
      <c r="G37" s="83"/>
    </row>
    <row r="38" spans="1:14">
      <c r="A38" s="26"/>
      <c r="B38" s="27"/>
      <c r="C38" s="27"/>
      <c r="D38" s="27"/>
      <c r="E38" s="27"/>
      <c r="F38" s="27"/>
      <c r="G38" s="83"/>
    </row>
    <row r="39" spans="1:14" ht="15.75">
      <c r="A39" s="244" t="s">
        <v>75</v>
      </c>
      <c r="B39" s="244"/>
      <c r="C39" s="244"/>
      <c r="D39" s="244"/>
      <c r="E39" s="244"/>
      <c r="F39" s="244"/>
      <c r="G39" s="244"/>
      <c r="H39" s="244"/>
      <c r="I39" s="244"/>
      <c r="J39" s="244"/>
      <c r="K39" s="244"/>
      <c r="L39" s="244"/>
      <c r="M39" s="244"/>
      <c r="N39" s="244"/>
    </row>
    <row r="40" spans="1:14" ht="15.75">
      <c r="A40" s="242" t="s">
        <v>23</v>
      </c>
      <c r="B40" s="242"/>
      <c r="C40" s="242"/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</row>
    <row r="41" spans="1:14">
      <c r="A41" s="243" t="s">
        <v>5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</row>
    <row r="42" spans="1:14" ht="18.75">
      <c r="A42" s="241" t="s">
        <v>99</v>
      </c>
      <c r="B42" s="241"/>
      <c r="C42" s="241"/>
      <c r="D42" s="241"/>
      <c r="E42" s="241"/>
      <c r="F42" s="241"/>
      <c r="G42" s="241"/>
      <c r="H42" s="241"/>
      <c r="I42" s="241"/>
      <c r="J42" s="241"/>
      <c r="K42" s="241"/>
      <c r="L42" s="241"/>
      <c r="M42" s="241"/>
      <c r="N42" s="241"/>
    </row>
    <row r="43" spans="1:14" ht="15.75" thickBot="1">
      <c r="A43" s="3"/>
      <c r="B43" s="3"/>
      <c r="C43" s="3"/>
      <c r="D43" s="3"/>
      <c r="E43" s="15"/>
      <c r="F43" s="3"/>
      <c r="G43" s="84"/>
      <c r="H43" s="84"/>
      <c r="I43" s="3"/>
      <c r="J43" s="3"/>
      <c r="K43" s="3"/>
      <c r="L43" s="3"/>
    </row>
    <row r="44" spans="1:14" ht="27" thickBot="1">
      <c r="A44" s="218" t="s">
        <v>1</v>
      </c>
      <c r="B44" s="219"/>
      <c r="C44" s="218" t="s">
        <v>2</v>
      </c>
      <c r="D44" s="220" t="s">
        <v>4</v>
      </c>
      <c r="E44" s="221"/>
      <c r="F44" s="222" t="s">
        <v>12</v>
      </c>
      <c r="G44" s="220" t="s">
        <v>17</v>
      </c>
      <c r="H44" s="223" t="s">
        <v>91</v>
      </c>
      <c r="I44" s="223" t="s">
        <v>93</v>
      </c>
      <c r="J44" s="220" t="s">
        <v>13</v>
      </c>
      <c r="K44" s="223" t="s">
        <v>92</v>
      </c>
      <c r="L44" s="220" t="s">
        <v>16</v>
      </c>
      <c r="M44" s="220" t="s">
        <v>67</v>
      </c>
      <c r="N44" s="224" t="s">
        <v>94</v>
      </c>
    </row>
    <row r="45" spans="1:14">
      <c r="A45" s="113"/>
      <c r="B45" s="116"/>
      <c r="C45" s="113"/>
      <c r="D45" s="91"/>
      <c r="E45" s="97"/>
      <c r="F45" s="102"/>
      <c r="G45" s="102"/>
      <c r="H45" s="102"/>
      <c r="I45" s="102"/>
      <c r="J45" s="102"/>
      <c r="K45" s="217"/>
      <c r="L45" s="102"/>
      <c r="M45" s="102"/>
      <c r="N45" s="102"/>
    </row>
    <row r="46" spans="1:14">
      <c r="A46" s="113" t="s">
        <v>24</v>
      </c>
      <c r="B46" s="116"/>
      <c r="C46" s="118">
        <v>703</v>
      </c>
      <c r="D46" s="92">
        <f>SUM(F46:N46)</f>
        <v>0</v>
      </c>
      <c r="E46" s="98"/>
      <c r="F46" s="125"/>
      <c r="G46" s="125"/>
      <c r="H46" s="125"/>
      <c r="I46" s="125"/>
      <c r="J46" s="125"/>
      <c r="K46" s="125"/>
      <c r="L46" s="125"/>
      <c r="M46" s="125"/>
      <c r="N46" s="125"/>
    </row>
    <row r="47" spans="1:14">
      <c r="A47" s="114" t="s">
        <v>25</v>
      </c>
      <c r="B47" s="117"/>
      <c r="C47" s="119">
        <v>706</v>
      </c>
      <c r="D47" s="92">
        <f t="shared" ref="D47:D61" si="3">SUM(F47:N47)</f>
        <v>1283454.6000000001</v>
      </c>
      <c r="E47" s="123"/>
      <c r="F47" s="126">
        <f>6160+5320+5320+2800+9240+23830+12300+9150+17550+8850+50672.3+3000</f>
        <v>154192.29999999999</v>
      </c>
      <c r="G47" s="126">
        <f>18000+11400</f>
        <v>29400</v>
      </c>
      <c r="H47" s="126">
        <f>36280+23168+24980+26616+26004+27212+28180.1+15136.5+46620+18606.2+30276+13984</f>
        <v>317062.8</v>
      </c>
      <c r="I47" s="126">
        <f>23800+8960+14280+19880+18480+6440+16460+13640+14200+14200+16490+5950</f>
        <v>172780</v>
      </c>
      <c r="J47" s="126">
        <f>21420+19880+12320+18760+14560+6720+12200+13640+14200+14200+5800</f>
        <v>153700</v>
      </c>
      <c r="K47" s="126"/>
      <c r="L47" s="126">
        <f>12028+9732+6648+16475+15960+14850+18119+31400+19100+19850+12186</f>
        <v>176348</v>
      </c>
      <c r="M47" s="126">
        <f>32740+35210+23010+26200+28030+25980+23160+18800+19680+19920+18721.5+8520</f>
        <v>279971.5</v>
      </c>
      <c r="N47" s="126"/>
    </row>
    <row r="48" spans="1:14">
      <c r="A48" s="114" t="s">
        <v>76</v>
      </c>
      <c r="B48" s="117"/>
      <c r="C48" s="119">
        <v>707</v>
      </c>
      <c r="D48" s="92">
        <f t="shared" si="3"/>
        <v>0</v>
      </c>
      <c r="E48" s="123"/>
      <c r="F48" s="126"/>
      <c r="G48" s="126"/>
      <c r="H48" s="126"/>
      <c r="I48" s="126"/>
      <c r="J48" s="126"/>
      <c r="K48" s="126"/>
      <c r="L48" s="126"/>
      <c r="M48" s="126"/>
      <c r="N48" s="126"/>
    </row>
    <row r="49" spans="1:14">
      <c r="A49" s="114" t="s">
        <v>26</v>
      </c>
      <c r="B49" s="117"/>
      <c r="C49" s="119">
        <v>715</v>
      </c>
      <c r="D49" s="92">
        <f t="shared" si="3"/>
        <v>0</v>
      </c>
      <c r="E49" s="123"/>
      <c r="F49" s="126"/>
      <c r="G49" s="126"/>
      <c r="H49" s="126"/>
      <c r="I49" s="126"/>
      <c r="J49" s="126"/>
      <c r="K49" s="126"/>
      <c r="L49" s="126"/>
      <c r="M49" s="126"/>
      <c r="N49" s="126"/>
    </row>
    <row r="50" spans="1:14">
      <c r="A50" s="114" t="s">
        <v>27</v>
      </c>
      <c r="B50" s="117"/>
      <c r="C50" s="119">
        <v>720</v>
      </c>
      <c r="D50" s="92">
        <f t="shared" si="3"/>
        <v>21300</v>
      </c>
      <c r="E50" s="123"/>
      <c r="F50" s="126"/>
      <c r="G50" s="126"/>
      <c r="H50" s="126"/>
      <c r="I50" s="126"/>
      <c r="J50" s="126"/>
      <c r="K50" s="126">
        <v>21300</v>
      </c>
      <c r="L50" s="126"/>
      <c r="M50" s="126"/>
      <c r="N50" s="126"/>
    </row>
    <row r="51" spans="1:14">
      <c r="A51" s="114" t="s">
        <v>81</v>
      </c>
      <c r="B51" s="117"/>
      <c r="C51" s="119">
        <v>717</v>
      </c>
      <c r="D51" s="92">
        <f t="shared" si="3"/>
        <v>0</v>
      </c>
      <c r="E51" s="123"/>
      <c r="F51" s="126"/>
      <c r="G51" s="126"/>
      <c r="H51" s="126"/>
      <c r="I51" s="126"/>
      <c r="J51" s="126"/>
      <c r="K51" s="126"/>
      <c r="L51" s="126"/>
      <c r="M51" s="126"/>
      <c r="N51" s="126"/>
    </row>
    <row r="52" spans="1:14">
      <c r="A52" s="114" t="s">
        <v>87</v>
      </c>
      <c r="B52" s="117"/>
      <c r="C52" s="119">
        <v>721</v>
      </c>
      <c r="D52" s="92">
        <f t="shared" si="3"/>
        <v>26592.5</v>
      </c>
      <c r="E52" s="123"/>
      <c r="F52" s="126"/>
      <c r="G52" s="126"/>
      <c r="H52" s="126"/>
      <c r="I52" s="126"/>
      <c r="J52" s="126"/>
      <c r="K52" s="126">
        <f>2417.5+2417.5+2417.5+2417.5+2417.5+2417.5+2417.5+2417.5+2417.5+4835</f>
        <v>26592.5</v>
      </c>
      <c r="L52" s="126"/>
      <c r="M52" s="126"/>
      <c r="N52" s="126"/>
    </row>
    <row r="53" spans="1:14">
      <c r="A53" s="114" t="s">
        <v>28</v>
      </c>
      <c r="B53" s="117"/>
      <c r="C53" s="119">
        <v>723</v>
      </c>
      <c r="D53" s="92">
        <f t="shared" si="3"/>
        <v>153218.99</v>
      </c>
      <c r="E53" s="123"/>
      <c r="F53" s="126">
        <f>10236.12</f>
        <v>10236.120000000001</v>
      </c>
      <c r="G53" s="126"/>
      <c r="H53" s="126">
        <f>13162.81+10450.99+8921.03+11052.17+12106.95+13808.48+7435.34+9156.49+11160+5361.58+7101.71</f>
        <v>109717.55</v>
      </c>
      <c r="I53" s="126">
        <f>21716.64+1120+5281.18</f>
        <v>28117.82</v>
      </c>
      <c r="J53" s="126">
        <f>5147.5</f>
        <v>5147.5</v>
      </c>
      <c r="K53" s="126"/>
      <c r="L53" s="126"/>
      <c r="M53" s="126"/>
      <c r="N53" s="126"/>
    </row>
    <row r="54" spans="1:14">
      <c r="A54" s="114" t="s">
        <v>29</v>
      </c>
      <c r="B54" s="117"/>
      <c r="C54" s="119">
        <v>724</v>
      </c>
      <c r="D54" s="92">
        <f t="shared" si="3"/>
        <v>76273.33</v>
      </c>
      <c r="E54" s="123"/>
      <c r="F54" s="126">
        <v>5000</v>
      </c>
      <c r="G54" s="126">
        <v>5000</v>
      </c>
      <c r="H54" s="126">
        <f>10000</f>
        <v>10000</v>
      </c>
      <c r="I54" s="126">
        <f>2500+12000+5000</f>
        <v>19500</v>
      </c>
      <c r="J54" s="126">
        <f>5000+4500</f>
        <v>9500</v>
      </c>
      <c r="K54" s="126"/>
      <c r="L54" s="126">
        <f>2500+2500</f>
        <v>5000</v>
      </c>
      <c r="M54" s="126">
        <f>10000+2823.33+9450</f>
        <v>22273.33</v>
      </c>
      <c r="N54" s="126"/>
    </row>
    <row r="55" spans="1:14">
      <c r="A55" s="114" t="s">
        <v>30</v>
      </c>
      <c r="B55" s="117"/>
      <c r="C55" s="119">
        <v>725</v>
      </c>
      <c r="D55" s="92">
        <f t="shared" si="3"/>
        <v>87388.069999999992</v>
      </c>
      <c r="E55" s="123"/>
      <c r="F55" s="126">
        <v>7025</v>
      </c>
      <c r="G55" s="126">
        <v>2450</v>
      </c>
      <c r="H55" s="126">
        <f>11303.67</f>
        <v>11303.67</v>
      </c>
      <c r="I55" s="126">
        <f>7443.33+14758.57+6457.5</f>
        <v>28659.4</v>
      </c>
      <c r="J55" s="126">
        <f>6428.33+5648.33</f>
        <v>12076.66</v>
      </c>
      <c r="K55" s="126"/>
      <c r="L55" s="126">
        <v>2671.67</v>
      </c>
      <c r="M55" s="126">
        <f>13201.67+2500+7500</f>
        <v>23201.67</v>
      </c>
      <c r="N55" s="126"/>
    </row>
    <row r="56" spans="1:14">
      <c r="A56" s="114" t="s">
        <v>31</v>
      </c>
      <c r="B56" s="117"/>
      <c r="C56" s="119">
        <v>732</v>
      </c>
      <c r="D56" s="92">
        <f t="shared" si="3"/>
        <v>0</v>
      </c>
      <c r="E56" s="123"/>
      <c r="F56" s="126"/>
      <c r="G56" s="126"/>
      <c r="H56" s="126"/>
      <c r="I56" s="126"/>
      <c r="J56" s="126"/>
      <c r="K56" s="126"/>
      <c r="L56" s="126"/>
      <c r="M56" s="126"/>
      <c r="N56" s="126"/>
    </row>
    <row r="57" spans="1:14">
      <c r="A57" s="114" t="s">
        <v>32</v>
      </c>
      <c r="B57" s="117"/>
      <c r="C57" s="119">
        <v>733</v>
      </c>
      <c r="D57" s="92">
        <f t="shared" si="3"/>
        <v>4187.5</v>
      </c>
      <c r="E57" s="123"/>
      <c r="F57" s="126">
        <f>150+150+200+350</f>
        <v>850</v>
      </c>
      <c r="G57" s="126">
        <f>325+150</f>
        <v>475</v>
      </c>
      <c r="H57" s="126"/>
      <c r="I57" s="126"/>
      <c r="J57" s="126"/>
      <c r="K57" s="126"/>
      <c r="L57" s="126">
        <f>175</f>
        <v>175</v>
      </c>
      <c r="M57" s="126">
        <f>362.5+275+275+275+275+275+175+212.5+187.5+187.5+187.5</f>
        <v>2687.5</v>
      </c>
      <c r="N57" s="126"/>
    </row>
    <row r="58" spans="1:14">
      <c r="A58" s="114" t="s">
        <v>33</v>
      </c>
      <c r="B58" s="117"/>
      <c r="C58" s="119">
        <v>749</v>
      </c>
      <c r="D58" s="92">
        <f t="shared" si="3"/>
        <v>0</v>
      </c>
      <c r="E58" s="123"/>
      <c r="F58" s="126"/>
      <c r="G58" s="126"/>
      <c r="H58" s="126"/>
      <c r="I58" s="126"/>
      <c r="J58" s="126"/>
      <c r="K58" s="126"/>
      <c r="L58" s="126"/>
      <c r="M58" s="126"/>
      <c r="N58" s="126"/>
    </row>
    <row r="59" spans="1:14">
      <c r="A59" s="114" t="s">
        <v>34</v>
      </c>
      <c r="B59" s="117"/>
      <c r="C59" s="119">
        <v>749</v>
      </c>
      <c r="D59" s="92">
        <f t="shared" si="3"/>
        <v>37144</v>
      </c>
      <c r="E59" s="123"/>
      <c r="F59" s="126">
        <v>3000</v>
      </c>
      <c r="G59" s="126"/>
      <c r="H59" s="126"/>
      <c r="I59" s="126">
        <f>19344+1680</f>
        <v>21024</v>
      </c>
      <c r="J59" s="126"/>
      <c r="K59" s="126"/>
      <c r="L59" s="126">
        <v>4760</v>
      </c>
      <c r="M59" s="126">
        <v>8360</v>
      </c>
      <c r="N59" s="126"/>
    </row>
    <row r="60" spans="1:14">
      <c r="A60" s="114" t="s">
        <v>69</v>
      </c>
      <c r="B60" s="117"/>
      <c r="C60" s="119">
        <v>749</v>
      </c>
      <c r="D60" s="92">
        <f t="shared" si="3"/>
        <v>0</v>
      </c>
      <c r="E60" s="123"/>
      <c r="F60" s="126"/>
      <c r="G60" s="126"/>
      <c r="H60" s="126"/>
      <c r="I60" s="126"/>
      <c r="J60" s="126"/>
      <c r="K60" s="126"/>
      <c r="L60" s="126"/>
      <c r="M60" s="126"/>
      <c r="N60" s="126"/>
    </row>
    <row r="61" spans="1:14">
      <c r="A61" s="114" t="s">
        <v>35</v>
      </c>
      <c r="B61" s="117"/>
      <c r="C61" s="119">
        <v>749</v>
      </c>
      <c r="D61" s="92">
        <f t="shared" si="3"/>
        <v>20296.669999999998</v>
      </c>
      <c r="E61" s="123"/>
      <c r="F61" s="126"/>
      <c r="G61" s="126"/>
      <c r="H61" s="126"/>
      <c r="I61" s="126">
        <f>3600</f>
        <v>3600</v>
      </c>
      <c r="J61" s="126">
        <f>5000</f>
        <v>5000</v>
      </c>
      <c r="K61" s="126"/>
      <c r="L61" s="126">
        <f>2321.67</f>
        <v>2321.67</v>
      </c>
      <c r="M61" s="126">
        <f>9375</f>
        <v>9375</v>
      </c>
      <c r="N61" s="126"/>
    </row>
    <row r="62" spans="1:14" ht="3" customHeight="1">
      <c r="A62" s="114"/>
      <c r="B62" s="117"/>
      <c r="C62" s="114"/>
      <c r="D62" s="93"/>
      <c r="E62" s="99"/>
      <c r="F62" s="103"/>
      <c r="G62" s="103"/>
      <c r="H62" s="103"/>
      <c r="I62" s="103"/>
      <c r="J62" s="103"/>
      <c r="K62" s="103"/>
      <c r="L62" s="103"/>
      <c r="M62" s="103"/>
      <c r="N62" s="103"/>
    </row>
    <row r="63" spans="1:14" ht="18" customHeight="1" thickBot="1">
      <c r="A63" s="115" t="s">
        <v>4</v>
      </c>
      <c r="B63" s="128"/>
      <c r="C63" s="115"/>
      <c r="D63" s="94">
        <f>SUM(D46:D61)</f>
        <v>1709855.6600000001</v>
      </c>
      <c r="E63" s="100"/>
      <c r="F63" s="104">
        <f>SUM(F46:F61)</f>
        <v>180303.41999999998</v>
      </c>
      <c r="G63" s="104">
        <f t="shared" ref="G63:N63" si="4">SUM(G46:G61)</f>
        <v>37325</v>
      </c>
      <c r="H63" s="104">
        <f t="shared" si="4"/>
        <v>448084.01999999996</v>
      </c>
      <c r="I63" s="104">
        <f t="shared" si="4"/>
        <v>273681.21999999997</v>
      </c>
      <c r="J63" s="104">
        <f t="shared" si="4"/>
        <v>185424.16</v>
      </c>
      <c r="K63" s="104">
        <f t="shared" si="4"/>
        <v>47892.5</v>
      </c>
      <c r="L63" s="104">
        <f t="shared" si="4"/>
        <v>191276.34000000003</v>
      </c>
      <c r="M63" s="104">
        <f t="shared" si="4"/>
        <v>345869</v>
      </c>
      <c r="N63" s="104">
        <f t="shared" si="4"/>
        <v>0</v>
      </c>
    </row>
    <row r="64" spans="1:14">
      <c r="D64" s="17"/>
      <c r="E64" s="17"/>
    </row>
    <row r="65" spans="1:14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</row>
    <row r="66" spans="1:14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</row>
    <row r="67" spans="1:14">
      <c r="A67" s="25" t="s">
        <v>19</v>
      </c>
    </row>
    <row r="68" spans="1:14">
      <c r="A68" s="245" t="s">
        <v>20</v>
      </c>
      <c r="B68" s="245"/>
      <c r="C68" s="245"/>
      <c r="D68" s="245"/>
      <c r="E68" s="245"/>
      <c r="F68" s="245"/>
      <c r="G68" s="83"/>
    </row>
    <row r="69" spans="1:14">
      <c r="A69" s="246" t="s">
        <v>21</v>
      </c>
      <c r="B69" s="245"/>
      <c r="C69" s="245"/>
      <c r="D69" s="245"/>
      <c r="E69" s="245"/>
      <c r="F69" s="245"/>
      <c r="G69" s="83"/>
    </row>
    <row r="70" spans="1:14">
      <c r="A70" s="26"/>
      <c r="B70" s="27"/>
      <c r="C70" s="27"/>
      <c r="D70" s="27"/>
      <c r="E70" s="27"/>
      <c r="F70" s="27"/>
      <c r="G70" s="83"/>
    </row>
    <row r="71" spans="1:14" ht="15.75">
      <c r="A71" s="244" t="s">
        <v>75</v>
      </c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</row>
    <row r="72" spans="1:14" ht="18.75">
      <c r="A72" s="240" t="s">
        <v>11</v>
      </c>
      <c r="B72" s="24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</row>
    <row r="73" spans="1:14" ht="18.75">
      <c r="A73" s="240" t="s">
        <v>6</v>
      </c>
      <c r="B73" s="24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</row>
    <row r="74" spans="1:14" ht="18.75">
      <c r="A74" s="241" t="s">
        <v>99</v>
      </c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</row>
    <row r="75" spans="1:14" ht="15.75" thickBot="1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1:14" ht="15.75" thickBot="1">
      <c r="A76" s="34" t="s">
        <v>1</v>
      </c>
      <c r="B76" s="35"/>
      <c r="C76" s="85" t="s">
        <v>2</v>
      </c>
      <c r="D76" s="89" t="s">
        <v>4</v>
      </c>
      <c r="E76" s="95"/>
      <c r="F76" s="89" t="s">
        <v>12</v>
      </c>
      <c r="G76" s="132" t="s">
        <v>17</v>
      </c>
      <c r="H76" s="132" t="s">
        <v>82</v>
      </c>
      <c r="I76" s="89" t="s">
        <v>84</v>
      </c>
      <c r="J76" s="108" t="s">
        <v>13</v>
      </c>
      <c r="K76" s="89" t="s">
        <v>14</v>
      </c>
      <c r="L76" s="89" t="s">
        <v>16</v>
      </c>
      <c r="M76" s="89" t="s">
        <v>67</v>
      </c>
      <c r="N76" s="105" t="s">
        <v>72</v>
      </c>
    </row>
    <row r="77" spans="1:14" ht="15.75" thickBot="1">
      <c r="A77" s="64"/>
      <c r="B77" s="65"/>
      <c r="C77" s="138"/>
      <c r="D77" s="139"/>
      <c r="E77" s="140"/>
      <c r="F77" s="139"/>
      <c r="G77" s="134"/>
      <c r="H77" s="134" t="s">
        <v>83</v>
      </c>
      <c r="I77" s="139" t="s">
        <v>85</v>
      </c>
      <c r="J77" s="108"/>
      <c r="K77" s="139"/>
      <c r="L77" s="139"/>
      <c r="M77" s="139"/>
      <c r="N77" s="141"/>
    </row>
    <row r="78" spans="1:14" ht="2.25" customHeight="1" thickBot="1">
      <c r="A78" s="12"/>
      <c r="B78" s="11"/>
      <c r="C78" s="86"/>
      <c r="D78" s="90"/>
      <c r="E78" s="96"/>
      <c r="F78" s="101"/>
      <c r="G78" s="101"/>
      <c r="H78" s="101"/>
      <c r="I78" s="101"/>
      <c r="J78" s="109"/>
      <c r="K78" s="111" t="s">
        <v>15</v>
      </c>
      <c r="L78" s="101"/>
      <c r="M78" s="101"/>
      <c r="N78" s="106"/>
    </row>
    <row r="79" spans="1:14">
      <c r="A79" s="51"/>
      <c r="B79" s="49"/>
      <c r="C79" s="87"/>
      <c r="D79" s="91"/>
      <c r="E79" s="97"/>
      <c r="F79" s="102"/>
      <c r="G79" s="102"/>
      <c r="H79" s="102"/>
      <c r="I79" s="102"/>
      <c r="J79" s="110"/>
      <c r="K79" s="102"/>
      <c r="L79" s="102"/>
      <c r="M79" s="102"/>
      <c r="N79" s="107"/>
    </row>
    <row r="80" spans="1:14">
      <c r="A80" s="188" t="s">
        <v>24</v>
      </c>
      <c r="B80" s="189"/>
      <c r="C80" s="190">
        <v>703</v>
      </c>
      <c r="D80" s="191">
        <f t="shared" ref="D80:D91" si="5">SUM(F80:M80)</f>
        <v>75000</v>
      </c>
      <c r="E80" s="192"/>
      <c r="F80" s="193">
        <f t="shared" ref="F80:N80" si="6">+F14-F46</f>
        <v>0</v>
      </c>
      <c r="G80" s="193">
        <f t="shared" si="6"/>
        <v>0</v>
      </c>
      <c r="H80" s="193">
        <f t="shared" si="6"/>
        <v>0</v>
      </c>
      <c r="I80" s="193">
        <f t="shared" si="6"/>
        <v>0</v>
      </c>
      <c r="J80" s="193">
        <f t="shared" si="6"/>
        <v>0</v>
      </c>
      <c r="K80" s="193">
        <f t="shared" si="6"/>
        <v>0</v>
      </c>
      <c r="L80" s="193">
        <f t="shared" si="6"/>
        <v>75000</v>
      </c>
      <c r="M80" s="193">
        <f t="shared" si="6"/>
        <v>0</v>
      </c>
      <c r="N80" s="193">
        <f t="shared" si="6"/>
        <v>0</v>
      </c>
    </row>
    <row r="81" spans="1:14">
      <c r="A81" s="194" t="s">
        <v>25</v>
      </c>
      <c r="B81" s="195"/>
      <c r="C81" s="196">
        <v>706</v>
      </c>
      <c r="D81" s="191">
        <f t="shared" si="5"/>
        <v>761633.4</v>
      </c>
      <c r="E81" s="192"/>
      <c r="F81" s="193">
        <f t="shared" ref="F81:N81" si="7">+F15-F47</f>
        <v>-43600.299999999988</v>
      </c>
      <c r="G81" s="193">
        <f t="shared" si="7"/>
        <v>204264</v>
      </c>
      <c r="H81" s="193">
        <f t="shared" si="7"/>
        <v>330217.2</v>
      </c>
      <c r="I81" s="193">
        <f t="shared" si="7"/>
        <v>25172</v>
      </c>
      <c r="J81" s="193">
        <f t="shared" si="7"/>
        <v>44252</v>
      </c>
      <c r="K81" s="193">
        <f t="shared" si="7"/>
        <v>23232</v>
      </c>
      <c r="L81" s="193">
        <f t="shared" si="7"/>
        <v>-65756</v>
      </c>
      <c r="M81" s="193">
        <f t="shared" si="7"/>
        <v>243852.5</v>
      </c>
      <c r="N81" s="193">
        <f t="shared" si="7"/>
        <v>21500</v>
      </c>
    </row>
    <row r="82" spans="1:14">
      <c r="A82" s="194" t="s">
        <v>77</v>
      </c>
      <c r="B82" s="195"/>
      <c r="C82" s="196">
        <v>707</v>
      </c>
      <c r="D82" s="191">
        <f t="shared" si="5"/>
        <v>35000</v>
      </c>
      <c r="E82" s="192"/>
      <c r="F82" s="193">
        <f t="shared" ref="F82:N82" si="8">+F16-F48</f>
        <v>0</v>
      </c>
      <c r="G82" s="193">
        <f t="shared" si="8"/>
        <v>15000</v>
      </c>
      <c r="H82" s="193">
        <f t="shared" si="8"/>
        <v>20000</v>
      </c>
      <c r="I82" s="193">
        <f t="shared" si="8"/>
        <v>0</v>
      </c>
      <c r="J82" s="193">
        <f t="shared" si="8"/>
        <v>0</v>
      </c>
      <c r="K82" s="193">
        <f t="shared" si="8"/>
        <v>0</v>
      </c>
      <c r="L82" s="193">
        <f t="shared" si="8"/>
        <v>0</v>
      </c>
      <c r="M82" s="193">
        <f t="shared" si="8"/>
        <v>0</v>
      </c>
      <c r="N82" s="193">
        <f t="shared" si="8"/>
        <v>0</v>
      </c>
    </row>
    <row r="83" spans="1:14">
      <c r="A83" s="194" t="s">
        <v>26</v>
      </c>
      <c r="B83" s="195"/>
      <c r="C83" s="196">
        <v>715</v>
      </c>
      <c r="D83" s="191">
        <f t="shared" si="5"/>
        <v>18000</v>
      </c>
      <c r="E83" s="192"/>
      <c r="F83" s="193">
        <f t="shared" ref="F83:N83" si="9">+F17-F49</f>
        <v>2000</v>
      </c>
      <c r="G83" s="193">
        <f t="shared" si="9"/>
        <v>4000</v>
      </c>
      <c r="H83" s="193">
        <f t="shared" si="9"/>
        <v>0</v>
      </c>
      <c r="I83" s="193">
        <f t="shared" si="9"/>
        <v>4000</v>
      </c>
      <c r="J83" s="193">
        <f t="shared" si="9"/>
        <v>4000</v>
      </c>
      <c r="K83" s="193">
        <f t="shared" si="9"/>
        <v>0</v>
      </c>
      <c r="L83" s="193">
        <f t="shared" si="9"/>
        <v>4000</v>
      </c>
      <c r="M83" s="193">
        <f t="shared" si="9"/>
        <v>0</v>
      </c>
      <c r="N83" s="193">
        <f t="shared" si="9"/>
        <v>0</v>
      </c>
    </row>
    <row r="84" spans="1:14">
      <c r="A84" s="194" t="s">
        <v>27</v>
      </c>
      <c r="B84" s="195"/>
      <c r="C84" s="196">
        <v>720</v>
      </c>
      <c r="D84" s="191">
        <f t="shared" si="5"/>
        <v>6262.5</v>
      </c>
      <c r="E84" s="192"/>
      <c r="F84" s="193">
        <f t="shared" ref="F84:N84" si="10">+F18-F50</f>
        <v>0</v>
      </c>
      <c r="G84" s="193">
        <f t="shared" si="10"/>
        <v>0</v>
      </c>
      <c r="H84" s="193">
        <f t="shared" si="10"/>
        <v>0</v>
      </c>
      <c r="I84" s="193">
        <f t="shared" si="10"/>
        <v>0</v>
      </c>
      <c r="J84" s="193">
        <f t="shared" si="10"/>
        <v>0</v>
      </c>
      <c r="K84" s="193">
        <f t="shared" si="10"/>
        <v>6262.5</v>
      </c>
      <c r="L84" s="193">
        <f t="shared" si="10"/>
        <v>0</v>
      </c>
      <c r="M84" s="193">
        <f t="shared" si="10"/>
        <v>0</v>
      </c>
      <c r="N84" s="193">
        <f t="shared" si="10"/>
        <v>0</v>
      </c>
    </row>
    <row r="85" spans="1:14">
      <c r="A85" s="194" t="s">
        <v>81</v>
      </c>
      <c r="B85" s="195"/>
      <c r="C85" s="196">
        <v>717</v>
      </c>
      <c r="D85" s="191">
        <f t="shared" si="5"/>
        <v>17000</v>
      </c>
      <c r="E85" s="192"/>
      <c r="F85" s="193">
        <f t="shared" ref="F85:N85" si="11">+F19-F51</f>
        <v>4000</v>
      </c>
      <c r="G85" s="193">
        <f t="shared" si="11"/>
        <v>2000</v>
      </c>
      <c r="H85" s="193">
        <f t="shared" si="11"/>
        <v>0</v>
      </c>
      <c r="I85" s="193">
        <f t="shared" si="11"/>
        <v>5000</v>
      </c>
      <c r="J85" s="193">
        <f t="shared" si="11"/>
        <v>2000</v>
      </c>
      <c r="K85" s="193">
        <f t="shared" si="11"/>
        <v>0</v>
      </c>
      <c r="L85" s="193">
        <f t="shared" si="11"/>
        <v>2000</v>
      </c>
      <c r="M85" s="193">
        <f t="shared" si="11"/>
        <v>2000</v>
      </c>
      <c r="N85" s="193">
        <f t="shared" si="11"/>
        <v>0</v>
      </c>
    </row>
    <row r="86" spans="1:14">
      <c r="A86" s="197" t="s">
        <v>87</v>
      </c>
      <c r="B86" s="198"/>
      <c r="C86" s="199">
        <v>721</v>
      </c>
      <c r="D86" s="191">
        <f t="shared" si="5"/>
        <v>-26592.5</v>
      </c>
      <c r="E86" s="192"/>
      <c r="F86" s="193">
        <f t="shared" ref="F86:N86" si="12">+F20-F52</f>
        <v>0</v>
      </c>
      <c r="G86" s="193">
        <f t="shared" si="12"/>
        <v>0</v>
      </c>
      <c r="H86" s="193">
        <f t="shared" si="12"/>
        <v>0</v>
      </c>
      <c r="I86" s="193">
        <f t="shared" si="12"/>
        <v>0</v>
      </c>
      <c r="J86" s="193">
        <f t="shared" si="12"/>
        <v>0</v>
      </c>
      <c r="K86" s="193">
        <f t="shared" si="12"/>
        <v>-26592.5</v>
      </c>
      <c r="L86" s="193">
        <f t="shared" si="12"/>
        <v>0</v>
      </c>
      <c r="M86" s="193">
        <f t="shared" si="12"/>
        <v>0</v>
      </c>
      <c r="N86" s="193">
        <f t="shared" si="12"/>
        <v>0</v>
      </c>
    </row>
    <row r="87" spans="1:14">
      <c r="A87" s="194" t="s">
        <v>28</v>
      </c>
      <c r="B87" s="195"/>
      <c r="C87" s="196">
        <v>723</v>
      </c>
      <c r="D87" s="191">
        <f t="shared" si="5"/>
        <v>58781.009999999987</v>
      </c>
      <c r="E87" s="192"/>
      <c r="F87" s="193">
        <f t="shared" ref="F87:N87" si="13">+F21-F53</f>
        <v>54763.88</v>
      </c>
      <c r="G87" s="193">
        <f t="shared" si="13"/>
        <v>10000</v>
      </c>
      <c r="H87" s="193">
        <f t="shared" si="13"/>
        <v>2282.4499999999971</v>
      </c>
      <c r="I87" s="193">
        <f t="shared" si="13"/>
        <v>-8117.82</v>
      </c>
      <c r="J87" s="193">
        <f t="shared" si="13"/>
        <v>-147.5</v>
      </c>
      <c r="K87" s="193">
        <f t="shared" si="13"/>
        <v>0</v>
      </c>
      <c r="L87" s="193">
        <f t="shared" si="13"/>
        <v>0</v>
      </c>
      <c r="M87" s="193">
        <f t="shared" si="13"/>
        <v>0</v>
      </c>
      <c r="N87" s="193">
        <f t="shared" si="13"/>
        <v>0</v>
      </c>
    </row>
    <row r="88" spans="1:14">
      <c r="A88" s="194" t="s">
        <v>29</v>
      </c>
      <c r="B88" s="195"/>
      <c r="C88" s="196">
        <v>724</v>
      </c>
      <c r="D88" s="191">
        <f t="shared" si="5"/>
        <v>-12773.330000000002</v>
      </c>
      <c r="E88" s="192"/>
      <c r="F88" s="193">
        <f t="shared" ref="F88:N88" si="14">+F22-F54</f>
        <v>1000</v>
      </c>
      <c r="G88" s="193">
        <f t="shared" si="14"/>
        <v>6000</v>
      </c>
      <c r="H88" s="193">
        <f t="shared" si="14"/>
        <v>-10000</v>
      </c>
      <c r="I88" s="193">
        <f t="shared" si="14"/>
        <v>-8500</v>
      </c>
      <c r="J88" s="193">
        <f t="shared" si="14"/>
        <v>-3500</v>
      </c>
      <c r="K88" s="193">
        <f t="shared" si="14"/>
        <v>1000</v>
      </c>
      <c r="L88" s="193">
        <f t="shared" si="14"/>
        <v>-3500</v>
      </c>
      <c r="M88" s="193">
        <f t="shared" si="14"/>
        <v>4726.6699999999983</v>
      </c>
      <c r="N88" s="193">
        <f t="shared" si="14"/>
        <v>1000</v>
      </c>
    </row>
    <row r="89" spans="1:14">
      <c r="A89" s="194" t="s">
        <v>30</v>
      </c>
      <c r="B89" s="195"/>
      <c r="C89" s="196">
        <v>725</v>
      </c>
      <c r="D89" s="191">
        <f t="shared" si="5"/>
        <v>24703.93</v>
      </c>
      <c r="E89" s="192"/>
      <c r="F89" s="193">
        <f t="shared" ref="F89:N89" si="15">+F23-F55</f>
        <v>2191</v>
      </c>
      <c r="G89" s="193">
        <f t="shared" si="15"/>
        <v>17022</v>
      </c>
      <c r="H89" s="193">
        <f t="shared" si="15"/>
        <v>-11303.67</v>
      </c>
      <c r="I89" s="193">
        <f t="shared" si="15"/>
        <v>-12059.400000000001</v>
      </c>
      <c r="J89" s="193">
        <f t="shared" si="15"/>
        <v>-140.65999999999985</v>
      </c>
      <c r="K89" s="193">
        <f t="shared" si="15"/>
        <v>2000</v>
      </c>
      <c r="L89" s="193">
        <f t="shared" si="15"/>
        <v>6544.33</v>
      </c>
      <c r="M89" s="193">
        <f t="shared" si="15"/>
        <v>20450.330000000002</v>
      </c>
      <c r="N89" s="193">
        <f t="shared" si="15"/>
        <v>2000</v>
      </c>
    </row>
    <row r="90" spans="1:14">
      <c r="A90" s="194" t="s">
        <v>31</v>
      </c>
      <c r="B90" s="195"/>
      <c r="C90" s="196">
        <v>732</v>
      </c>
      <c r="D90" s="191">
        <f t="shared" si="5"/>
        <v>16560</v>
      </c>
      <c r="E90" s="192"/>
      <c r="F90" s="193">
        <f t="shared" ref="F90:N90" si="16">+F24-F56</f>
        <v>1440</v>
      </c>
      <c r="G90" s="193">
        <f t="shared" si="16"/>
        <v>2880</v>
      </c>
      <c r="H90" s="193">
        <f t="shared" si="16"/>
        <v>0</v>
      </c>
      <c r="I90" s="193">
        <f t="shared" si="16"/>
        <v>2640</v>
      </c>
      <c r="J90" s="193">
        <f t="shared" si="16"/>
        <v>1440</v>
      </c>
      <c r="K90" s="193">
        <f t="shared" si="16"/>
        <v>240</v>
      </c>
      <c r="L90" s="193">
        <f t="shared" si="16"/>
        <v>1440</v>
      </c>
      <c r="M90" s="193">
        <f t="shared" si="16"/>
        <v>6480</v>
      </c>
      <c r="N90" s="193">
        <f t="shared" si="16"/>
        <v>500</v>
      </c>
    </row>
    <row r="91" spans="1:14">
      <c r="A91" s="194" t="s">
        <v>32</v>
      </c>
      <c r="B91" s="195"/>
      <c r="C91" s="196">
        <v>733</v>
      </c>
      <c r="D91" s="191">
        <f t="shared" si="5"/>
        <v>13512.5</v>
      </c>
      <c r="E91" s="192"/>
      <c r="F91" s="193">
        <f t="shared" ref="F91:N91" si="17">+F25-F57</f>
        <v>650</v>
      </c>
      <c r="G91" s="193">
        <f t="shared" si="17"/>
        <v>2225</v>
      </c>
      <c r="H91" s="193">
        <f t="shared" si="17"/>
        <v>0</v>
      </c>
      <c r="I91" s="193">
        <f t="shared" si="17"/>
        <v>2700</v>
      </c>
      <c r="J91" s="193">
        <f t="shared" si="17"/>
        <v>2700</v>
      </c>
      <c r="K91" s="193">
        <f t="shared" si="17"/>
        <v>300</v>
      </c>
      <c r="L91" s="193">
        <f t="shared" si="17"/>
        <v>1325</v>
      </c>
      <c r="M91" s="193">
        <f t="shared" si="17"/>
        <v>3612.5</v>
      </c>
      <c r="N91" s="193">
        <f t="shared" si="17"/>
        <v>225</v>
      </c>
    </row>
    <row r="92" spans="1:14">
      <c r="A92" s="194" t="s">
        <v>33</v>
      </c>
      <c r="B92" s="195"/>
      <c r="C92" s="196">
        <v>749</v>
      </c>
      <c r="D92" s="191">
        <f t="shared" ref="D92:D93" si="18">SUM(F92:M92)</f>
        <v>0</v>
      </c>
      <c r="E92" s="192"/>
      <c r="F92" s="193">
        <f t="shared" ref="F92:N92" si="19">+F26-F58</f>
        <v>0</v>
      </c>
      <c r="G92" s="193">
        <f t="shared" si="19"/>
        <v>0</v>
      </c>
      <c r="H92" s="193">
        <f t="shared" si="19"/>
        <v>0</v>
      </c>
      <c r="I92" s="193">
        <f t="shared" si="19"/>
        <v>0</v>
      </c>
      <c r="J92" s="193">
        <f t="shared" si="19"/>
        <v>0</v>
      </c>
      <c r="K92" s="193">
        <f t="shared" si="19"/>
        <v>0</v>
      </c>
      <c r="L92" s="193">
        <f t="shared" si="19"/>
        <v>0</v>
      </c>
      <c r="M92" s="193">
        <f t="shared" si="19"/>
        <v>0</v>
      </c>
      <c r="N92" s="193">
        <f t="shared" si="19"/>
        <v>0</v>
      </c>
    </row>
    <row r="93" spans="1:14">
      <c r="A93" s="194" t="s">
        <v>34</v>
      </c>
      <c r="B93" s="195"/>
      <c r="C93" s="196">
        <v>749</v>
      </c>
      <c r="D93" s="191">
        <f t="shared" si="18"/>
        <v>-37144</v>
      </c>
      <c r="E93" s="192"/>
      <c r="F93" s="193">
        <f t="shared" ref="F93:N93" si="20">+F27-F59</f>
        <v>-3000</v>
      </c>
      <c r="G93" s="193">
        <f t="shared" si="20"/>
        <v>0</v>
      </c>
      <c r="H93" s="193">
        <f t="shared" si="20"/>
        <v>0</v>
      </c>
      <c r="I93" s="193">
        <f t="shared" si="20"/>
        <v>-21024</v>
      </c>
      <c r="J93" s="193">
        <f t="shared" si="20"/>
        <v>0</v>
      </c>
      <c r="K93" s="193">
        <f t="shared" si="20"/>
        <v>0</v>
      </c>
      <c r="L93" s="193">
        <f t="shared" si="20"/>
        <v>-4760</v>
      </c>
      <c r="M93" s="193">
        <f t="shared" si="20"/>
        <v>-8360</v>
      </c>
      <c r="N93" s="193">
        <f t="shared" si="20"/>
        <v>0</v>
      </c>
    </row>
    <row r="94" spans="1:14">
      <c r="A94" s="197" t="s">
        <v>69</v>
      </c>
      <c r="B94" s="198"/>
      <c r="C94" s="199">
        <v>749</v>
      </c>
      <c r="D94" s="191">
        <f t="shared" ref="D94:D95" si="21">SUM(F94:N94)</f>
        <v>0</v>
      </c>
      <c r="E94" s="200"/>
      <c r="F94" s="193">
        <f t="shared" ref="F94:N94" si="22">+F28-F60</f>
        <v>0</v>
      </c>
      <c r="G94" s="193">
        <f t="shared" si="22"/>
        <v>0</v>
      </c>
      <c r="H94" s="193">
        <f t="shared" si="22"/>
        <v>0</v>
      </c>
      <c r="I94" s="193">
        <f t="shared" si="22"/>
        <v>0</v>
      </c>
      <c r="J94" s="193">
        <f t="shared" si="22"/>
        <v>0</v>
      </c>
      <c r="K94" s="193">
        <f t="shared" si="22"/>
        <v>0</v>
      </c>
      <c r="L94" s="193">
        <f t="shared" si="22"/>
        <v>0</v>
      </c>
      <c r="M94" s="193">
        <f t="shared" si="22"/>
        <v>0</v>
      </c>
      <c r="N94" s="193">
        <f t="shared" si="22"/>
        <v>0</v>
      </c>
    </row>
    <row r="95" spans="1:14">
      <c r="A95" s="197" t="s">
        <v>35</v>
      </c>
      <c r="B95" s="198"/>
      <c r="C95" s="199">
        <v>749</v>
      </c>
      <c r="D95" s="191">
        <f t="shared" si="21"/>
        <v>517343.33</v>
      </c>
      <c r="E95" s="200"/>
      <c r="F95" s="193">
        <f t="shared" ref="F95:N95" si="23">+F29-F61</f>
        <v>87500</v>
      </c>
      <c r="G95" s="193">
        <f t="shared" si="23"/>
        <v>22528</v>
      </c>
      <c r="H95" s="193">
        <f t="shared" si="23"/>
        <v>114000</v>
      </c>
      <c r="I95" s="193">
        <f t="shared" si="23"/>
        <v>73928</v>
      </c>
      <c r="J95" s="193">
        <f t="shared" si="23"/>
        <v>45000</v>
      </c>
      <c r="K95" s="193">
        <f t="shared" si="23"/>
        <v>87528</v>
      </c>
      <c r="L95" s="193">
        <f t="shared" si="23"/>
        <v>43206.33</v>
      </c>
      <c r="M95" s="193">
        <f t="shared" si="23"/>
        <v>43153</v>
      </c>
      <c r="N95" s="193">
        <f t="shared" si="23"/>
        <v>500</v>
      </c>
    </row>
    <row r="96" spans="1:14" ht="2.25" customHeight="1">
      <c r="A96" s="201"/>
      <c r="B96" s="202"/>
      <c r="C96" s="203"/>
      <c r="D96" s="204"/>
      <c r="E96" s="205"/>
      <c r="F96" s="206"/>
      <c r="G96" s="206"/>
      <c r="H96" s="206"/>
      <c r="I96" s="206"/>
      <c r="J96" s="207"/>
      <c r="K96" s="206"/>
      <c r="L96" s="206"/>
      <c r="M96" s="206"/>
      <c r="N96" s="208"/>
    </row>
    <row r="97" spans="1:14" ht="15.75" thickBot="1">
      <c r="A97" s="209" t="s">
        <v>4</v>
      </c>
      <c r="B97" s="210"/>
      <c r="C97" s="211"/>
      <c r="D97" s="212">
        <f>SUM(F97:N97)</f>
        <v>1492511.84</v>
      </c>
      <c r="E97" s="213"/>
      <c r="F97" s="214">
        <f>SUM(F80:F96)</f>
        <v>106944.58000000002</v>
      </c>
      <c r="G97" s="214">
        <f t="shared" ref="G97:N97" si="24">SUM(G80:G96)</f>
        <v>285919</v>
      </c>
      <c r="H97" s="214">
        <f t="shared" si="24"/>
        <v>445195.98000000004</v>
      </c>
      <c r="I97" s="214">
        <f t="shared" si="24"/>
        <v>63738.78</v>
      </c>
      <c r="J97" s="214">
        <f t="shared" si="24"/>
        <v>95603.839999999997</v>
      </c>
      <c r="K97" s="214">
        <f t="shared" si="24"/>
        <v>93970</v>
      </c>
      <c r="L97" s="214">
        <f t="shared" si="24"/>
        <v>59499.66</v>
      </c>
      <c r="M97" s="214">
        <f t="shared" si="24"/>
        <v>315915</v>
      </c>
      <c r="N97" s="214">
        <f t="shared" si="24"/>
        <v>25725</v>
      </c>
    </row>
    <row r="98" spans="1:14">
      <c r="D98" s="151"/>
    </row>
    <row r="99" spans="1:14">
      <c r="D99" s="17"/>
    </row>
  </sheetData>
  <mergeCells count="20">
    <mergeCell ref="A39:N39"/>
    <mergeCell ref="A2:F2"/>
    <mergeCell ref="A3:F3"/>
    <mergeCell ref="A36:F36"/>
    <mergeCell ref="A37:F37"/>
    <mergeCell ref="A5:N5"/>
    <mergeCell ref="A6:N6"/>
    <mergeCell ref="A7:N7"/>
    <mergeCell ref="A8:N8"/>
    <mergeCell ref="A9:N9"/>
    <mergeCell ref="A34:L34"/>
    <mergeCell ref="A73:N73"/>
    <mergeCell ref="A74:N74"/>
    <mergeCell ref="A40:N40"/>
    <mergeCell ref="A41:N41"/>
    <mergeCell ref="A42:N42"/>
    <mergeCell ref="A71:N71"/>
    <mergeCell ref="A72:N72"/>
    <mergeCell ref="A68:F68"/>
    <mergeCell ref="A69:F69"/>
  </mergeCells>
  <pageMargins left="0.76" right="0.7" top="0.75" bottom="1.02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opLeftCell="A21" zoomScaleNormal="100" workbookViewId="0">
      <selection activeCell="H54" sqref="H54"/>
    </sheetView>
  </sheetViews>
  <sheetFormatPr defaultRowHeight="15"/>
  <cols>
    <col min="1" max="1" width="34.140625" customWidth="1"/>
    <col min="2" max="2" width="7" customWidth="1"/>
    <col min="3" max="3" width="13.7109375" customWidth="1"/>
    <col min="4" max="4" width="0.42578125" customWidth="1"/>
    <col min="5" max="5" width="12.140625" customWidth="1"/>
    <col min="6" max="6" width="11.28515625" customWidth="1"/>
    <col min="7" max="7" width="12.85546875" customWidth="1"/>
    <col min="8" max="8" width="11.28515625" customWidth="1"/>
    <col min="9" max="9" width="11.85546875" customWidth="1"/>
    <col min="10" max="10" width="11.28515625" customWidth="1"/>
    <col min="11" max="11" width="11.140625" customWidth="1"/>
    <col min="12" max="12" width="13.42578125" customWidth="1"/>
    <col min="13" max="13" width="11.7109375" customWidth="1"/>
    <col min="14" max="14" width="0.42578125" hidden="1" customWidth="1"/>
  </cols>
  <sheetData>
    <row r="1" spans="1:14" ht="15.75">
      <c r="A1" s="242" t="s">
        <v>11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4" ht="15.75">
      <c r="A2" s="242" t="s">
        <v>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4" ht="15.75">
      <c r="A3" s="247" t="s">
        <v>3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4" ht="18" customHeight="1" thickBot="1">
      <c r="A4" s="241" t="s">
        <v>99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</row>
    <row r="5" spans="1:14" ht="39">
      <c r="A5" s="37" t="s">
        <v>1</v>
      </c>
      <c r="B5" s="4" t="s">
        <v>2</v>
      </c>
      <c r="C5" s="4" t="s">
        <v>4</v>
      </c>
      <c r="D5" s="4"/>
      <c r="E5" s="226" t="s">
        <v>12</v>
      </c>
      <c r="F5" s="28" t="s">
        <v>17</v>
      </c>
      <c r="G5" s="226" t="s">
        <v>98</v>
      </c>
      <c r="H5" s="226" t="s">
        <v>93</v>
      </c>
      <c r="I5" s="28" t="s">
        <v>13</v>
      </c>
      <c r="J5" s="226" t="s">
        <v>95</v>
      </c>
      <c r="K5" s="28" t="s">
        <v>16</v>
      </c>
      <c r="L5" s="28" t="s">
        <v>67</v>
      </c>
      <c r="M5" s="238" t="s">
        <v>96</v>
      </c>
    </row>
    <row r="6" spans="1:14" ht="2.25" customHeight="1" thickBot="1">
      <c r="A6" s="5"/>
      <c r="B6" s="6"/>
      <c r="C6" s="74"/>
      <c r="D6" s="6"/>
      <c r="E6" s="36"/>
      <c r="F6" s="36"/>
      <c r="G6" s="227"/>
      <c r="H6" s="225"/>
      <c r="I6" s="36"/>
      <c r="J6" s="225"/>
      <c r="K6" s="36"/>
      <c r="L6" s="36"/>
      <c r="M6" s="239"/>
    </row>
    <row r="7" spans="1:14" ht="1.5" customHeight="1">
      <c r="A7" s="8"/>
      <c r="B7" s="9"/>
      <c r="C7" s="9"/>
      <c r="D7" s="9"/>
      <c r="E7" s="10"/>
      <c r="F7" s="10"/>
      <c r="G7" s="10"/>
      <c r="H7" s="10"/>
      <c r="I7" s="10"/>
      <c r="J7" s="10"/>
      <c r="K7" s="10"/>
      <c r="L7" s="10"/>
      <c r="M7" s="70"/>
    </row>
    <row r="8" spans="1:14">
      <c r="A8" s="42" t="s">
        <v>60</v>
      </c>
      <c r="B8" s="44">
        <v>751</v>
      </c>
      <c r="C8" s="40">
        <f>SUM(E8:M8)</f>
        <v>0</v>
      </c>
      <c r="D8" s="40"/>
      <c r="E8" s="50"/>
      <c r="F8" s="50"/>
      <c r="G8" s="50"/>
      <c r="H8" s="50"/>
      <c r="I8" s="50"/>
      <c r="J8" s="50"/>
      <c r="K8" s="50"/>
      <c r="L8" s="50"/>
      <c r="M8" s="71"/>
    </row>
    <row r="9" spans="1:14">
      <c r="A9" s="42" t="s">
        <v>61</v>
      </c>
      <c r="B9" s="44">
        <v>753</v>
      </c>
      <c r="C9" s="40">
        <f t="shared" ref="C9:C30" si="0">SUM(E9:M9)</f>
        <v>0</v>
      </c>
      <c r="D9" s="40"/>
      <c r="E9" s="50"/>
      <c r="F9" s="50"/>
      <c r="G9" s="50"/>
      <c r="H9" s="50"/>
      <c r="I9" s="50"/>
      <c r="J9" s="50"/>
      <c r="K9" s="50"/>
      <c r="L9" s="50"/>
      <c r="M9" s="71"/>
    </row>
    <row r="10" spans="1:14">
      <c r="A10" s="42" t="s">
        <v>36</v>
      </c>
      <c r="B10" s="44">
        <v>755</v>
      </c>
      <c r="C10" s="40">
        <f t="shared" si="0"/>
        <v>220652</v>
      </c>
      <c r="D10" s="40"/>
      <c r="E10" s="50"/>
      <c r="F10" s="50">
        <v>10000</v>
      </c>
      <c r="G10" s="50">
        <v>177452</v>
      </c>
      <c r="H10" s="50">
        <v>15000</v>
      </c>
      <c r="I10" s="50">
        <v>13200</v>
      </c>
      <c r="J10" s="50"/>
      <c r="K10" s="50"/>
      <c r="L10" s="50">
        <v>5000</v>
      </c>
      <c r="M10" s="71"/>
    </row>
    <row r="11" spans="1:14">
      <c r="A11" s="42" t="s">
        <v>37</v>
      </c>
      <c r="B11" s="44">
        <v>756</v>
      </c>
      <c r="C11" s="40">
        <f t="shared" si="0"/>
        <v>36032.25</v>
      </c>
      <c r="D11" s="40"/>
      <c r="E11" s="50">
        <v>1000</v>
      </c>
      <c r="F11" s="50">
        <v>500</v>
      </c>
      <c r="G11" s="50">
        <v>4800</v>
      </c>
      <c r="H11" s="50">
        <v>4248</v>
      </c>
      <c r="I11" s="50">
        <v>6660</v>
      </c>
      <c r="J11" s="50">
        <v>6500</v>
      </c>
      <c r="K11" s="50">
        <v>3500</v>
      </c>
      <c r="L11" s="50">
        <v>8000</v>
      </c>
      <c r="M11" s="71">
        <v>824.25</v>
      </c>
    </row>
    <row r="12" spans="1:14">
      <c r="A12" s="42" t="s">
        <v>38</v>
      </c>
      <c r="B12" s="44">
        <v>757</v>
      </c>
      <c r="C12" s="40">
        <f t="shared" si="0"/>
        <v>0</v>
      </c>
      <c r="D12" s="40"/>
      <c r="E12" s="50"/>
      <c r="F12" s="50"/>
      <c r="G12" s="50"/>
      <c r="H12" s="50"/>
      <c r="I12" s="50"/>
      <c r="J12" s="50"/>
      <c r="K12" s="50"/>
      <c r="L12" s="50"/>
      <c r="M12" s="71"/>
    </row>
    <row r="13" spans="1:14">
      <c r="A13" s="42" t="s">
        <v>39</v>
      </c>
      <c r="B13" s="44">
        <v>761</v>
      </c>
      <c r="C13" s="40">
        <f t="shared" si="0"/>
        <v>304200</v>
      </c>
      <c r="D13" s="40"/>
      <c r="E13" s="50">
        <v>27000</v>
      </c>
      <c r="F13" s="50">
        <v>36000</v>
      </c>
      <c r="G13" s="50">
        <v>241200</v>
      </c>
      <c r="H13" s="50"/>
      <c r="I13" s="50"/>
      <c r="J13" s="50"/>
      <c r="K13" s="50"/>
      <c r="L13" s="50"/>
      <c r="M13" s="71"/>
    </row>
    <row r="14" spans="1:14">
      <c r="A14" s="42" t="s">
        <v>40</v>
      </c>
      <c r="B14" s="44">
        <v>762</v>
      </c>
      <c r="C14" s="40">
        <f t="shared" si="0"/>
        <v>0</v>
      </c>
      <c r="D14" s="40"/>
      <c r="E14" s="50"/>
      <c r="F14" s="50"/>
      <c r="G14" s="50"/>
      <c r="H14" s="50"/>
      <c r="I14" s="50"/>
      <c r="J14" s="50"/>
      <c r="K14" s="50"/>
      <c r="L14" s="50"/>
      <c r="M14" s="71"/>
    </row>
    <row r="15" spans="1:14">
      <c r="A15" s="42" t="s">
        <v>41</v>
      </c>
      <c r="B15" s="44">
        <v>765</v>
      </c>
      <c r="C15" s="40">
        <f t="shared" si="0"/>
        <v>24297047.850000001</v>
      </c>
      <c r="D15" s="40"/>
      <c r="E15" s="50">
        <v>436422.28</v>
      </c>
      <c r="F15" s="50">
        <v>675000</v>
      </c>
      <c r="G15" s="50">
        <v>8431184</v>
      </c>
      <c r="H15" s="50"/>
      <c r="I15" s="50"/>
      <c r="J15" s="50">
        <v>63050</v>
      </c>
      <c r="K15" s="50">
        <v>215000</v>
      </c>
      <c r="L15" s="50">
        <v>14339593.75</v>
      </c>
      <c r="M15" s="52">
        <v>136797.82</v>
      </c>
    </row>
    <row r="16" spans="1:14">
      <c r="A16" s="42" t="s">
        <v>42</v>
      </c>
      <c r="B16" s="44">
        <v>766</v>
      </c>
      <c r="C16" s="40">
        <f t="shared" si="0"/>
        <v>23904</v>
      </c>
      <c r="D16" s="40"/>
      <c r="E16" s="50">
        <v>3500</v>
      </c>
      <c r="F16" s="50">
        <v>2000</v>
      </c>
      <c r="G16" s="50">
        <v>9600</v>
      </c>
      <c r="H16" s="50"/>
      <c r="I16" s="50"/>
      <c r="J16" s="50">
        <v>3804</v>
      </c>
      <c r="K16" s="50">
        <v>2500</v>
      </c>
      <c r="L16" s="50">
        <v>2500</v>
      </c>
      <c r="M16" s="71"/>
    </row>
    <row r="17" spans="1:13">
      <c r="A17" s="42" t="s">
        <v>43</v>
      </c>
      <c r="B17" s="44">
        <v>767</v>
      </c>
      <c r="C17" s="40">
        <f t="shared" si="0"/>
        <v>462262.96</v>
      </c>
      <c r="D17" s="40"/>
      <c r="E17" s="50">
        <v>28000</v>
      </c>
      <c r="F17" s="50">
        <v>27500</v>
      </c>
      <c r="G17" s="50">
        <v>60000</v>
      </c>
      <c r="H17" s="50">
        <v>216000</v>
      </c>
      <c r="I17" s="50">
        <v>30000</v>
      </c>
      <c r="J17" s="50">
        <v>2262.96</v>
      </c>
      <c r="K17" s="50">
        <v>8500</v>
      </c>
      <c r="L17" s="50">
        <v>90000</v>
      </c>
      <c r="M17" s="71"/>
    </row>
    <row r="18" spans="1:13">
      <c r="A18" s="42" t="s">
        <v>44</v>
      </c>
      <c r="B18" s="44">
        <v>768</v>
      </c>
      <c r="C18" s="40">
        <f t="shared" si="0"/>
        <v>0</v>
      </c>
      <c r="D18" s="40"/>
      <c r="E18" s="50"/>
      <c r="F18" s="50"/>
      <c r="G18" s="50"/>
      <c r="H18" s="50"/>
      <c r="I18" s="50"/>
      <c r="J18" s="50"/>
      <c r="K18" s="50"/>
      <c r="L18" s="50"/>
      <c r="M18" s="71"/>
    </row>
    <row r="19" spans="1:13">
      <c r="A19" s="42" t="s">
        <v>45</v>
      </c>
      <c r="B19" s="44">
        <v>772</v>
      </c>
      <c r="C19" s="40">
        <f t="shared" si="0"/>
        <v>57400</v>
      </c>
      <c r="D19" s="40"/>
      <c r="E19" s="50"/>
      <c r="F19" s="50">
        <v>13500</v>
      </c>
      <c r="G19" s="50"/>
      <c r="H19" s="50">
        <v>26400</v>
      </c>
      <c r="I19" s="50"/>
      <c r="J19" s="50"/>
      <c r="K19" s="50"/>
      <c r="L19" s="50">
        <v>17500</v>
      </c>
      <c r="M19" s="71"/>
    </row>
    <row r="20" spans="1:13">
      <c r="A20" s="42" t="s">
        <v>46</v>
      </c>
      <c r="B20" s="44">
        <v>773</v>
      </c>
      <c r="C20" s="40">
        <f t="shared" si="0"/>
        <v>0</v>
      </c>
      <c r="D20" s="40"/>
      <c r="E20" s="50"/>
      <c r="F20" s="50"/>
      <c r="G20" s="50"/>
      <c r="H20" s="50"/>
      <c r="I20" s="50"/>
      <c r="J20" s="50"/>
      <c r="K20" s="50"/>
      <c r="L20" s="50"/>
      <c r="M20" s="71"/>
    </row>
    <row r="21" spans="1:13">
      <c r="A21" s="42" t="s">
        <v>47</v>
      </c>
      <c r="B21" s="44">
        <v>775</v>
      </c>
      <c r="C21" s="40">
        <f t="shared" si="0"/>
        <v>0</v>
      </c>
      <c r="D21" s="40"/>
      <c r="E21" s="50"/>
      <c r="F21" s="50"/>
      <c r="G21" s="50"/>
      <c r="H21" s="50"/>
      <c r="I21" s="50"/>
      <c r="J21" s="50"/>
      <c r="K21" s="50"/>
      <c r="L21" s="50"/>
      <c r="M21" s="71"/>
    </row>
    <row r="22" spans="1:13">
      <c r="A22" s="42" t="s">
        <v>48</v>
      </c>
      <c r="B22" s="44">
        <v>780</v>
      </c>
      <c r="C22" s="40">
        <f t="shared" si="0"/>
        <v>12000</v>
      </c>
      <c r="D22" s="40"/>
      <c r="E22" s="50"/>
      <c r="F22" s="50"/>
      <c r="G22" s="50">
        <v>12000</v>
      </c>
      <c r="H22" s="50"/>
      <c r="I22" s="50"/>
      <c r="J22" s="50"/>
      <c r="K22" s="50"/>
      <c r="L22" s="50"/>
      <c r="M22" s="71"/>
    </row>
    <row r="23" spans="1:13">
      <c r="A23" s="42" t="s">
        <v>49</v>
      </c>
      <c r="B23" s="44">
        <v>781</v>
      </c>
      <c r="C23" s="40">
        <f t="shared" si="0"/>
        <v>0</v>
      </c>
      <c r="D23" s="40"/>
      <c r="E23" s="50"/>
      <c r="F23" s="50"/>
      <c r="G23" s="50"/>
      <c r="H23" s="50"/>
      <c r="I23" s="50"/>
      <c r="J23" s="50"/>
      <c r="K23" s="50"/>
      <c r="L23" s="50"/>
      <c r="M23" s="71"/>
    </row>
    <row r="24" spans="1:13">
      <c r="A24" s="42" t="s">
        <v>50</v>
      </c>
      <c r="B24" s="44">
        <v>782</v>
      </c>
      <c r="C24" s="40">
        <f t="shared" si="0"/>
        <v>217200</v>
      </c>
      <c r="D24" s="40"/>
      <c r="E24" s="50">
        <v>24000</v>
      </c>
      <c r="F24" s="50">
        <v>20000</v>
      </c>
      <c r="G24" s="50">
        <v>28800</v>
      </c>
      <c r="H24" s="50"/>
      <c r="I24" s="50">
        <v>65000</v>
      </c>
      <c r="J24" s="50">
        <v>26400</v>
      </c>
      <c r="K24" s="50">
        <v>3000</v>
      </c>
      <c r="L24" s="50">
        <v>50000</v>
      </c>
      <c r="M24" s="71"/>
    </row>
    <row r="25" spans="1:13">
      <c r="A25" s="42" t="s">
        <v>51</v>
      </c>
      <c r="B25" s="44">
        <v>784</v>
      </c>
      <c r="C25" s="40">
        <f t="shared" si="0"/>
        <v>0</v>
      </c>
      <c r="D25" s="40"/>
      <c r="E25" s="50"/>
      <c r="F25" s="50"/>
      <c r="G25" s="50"/>
      <c r="H25" s="50"/>
      <c r="I25" s="50"/>
      <c r="J25" s="50"/>
      <c r="K25" s="50"/>
      <c r="L25" s="50"/>
      <c r="M25" s="71"/>
    </row>
    <row r="26" spans="1:13">
      <c r="A26" s="42" t="s">
        <v>52</v>
      </c>
      <c r="B26" s="44">
        <v>815</v>
      </c>
      <c r="C26" s="40">
        <f t="shared" si="0"/>
        <v>353000</v>
      </c>
      <c r="D26" s="40"/>
      <c r="E26" s="50"/>
      <c r="F26" s="50"/>
      <c r="G26" s="50">
        <v>28000</v>
      </c>
      <c r="H26" s="50">
        <v>175000</v>
      </c>
      <c r="I26" s="50">
        <v>50000</v>
      </c>
      <c r="J26" s="50">
        <v>100000</v>
      </c>
      <c r="K26" s="50"/>
      <c r="L26" s="50"/>
      <c r="M26" s="71"/>
    </row>
    <row r="27" spans="1:13">
      <c r="A27" s="42" t="s">
        <v>53</v>
      </c>
      <c r="B27" s="44">
        <v>826</v>
      </c>
      <c r="C27" s="40">
        <f t="shared" si="0"/>
        <v>0</v>
      </c>
      <c r="D27" s="40"/>
      <c r="E27" s="50"/>
      <c r="F27" s="50"/>
      <c r="G27" s="50"/>
      <c r="H27" s="50"/>
      <c r="I27" s="50"/>
      <c r="J27" s="50"/>
      <c r="K27" s="50"/>
      <c r="L27" s="50"/>
      <c r="M27" s="71"/>
    </row>
    <row r="28" spans="1:13">
      <c r="A28" s="42" t="s">
        <v>62</v>
      </c>
      <c r="B28" s="44">
        <v>841</v>
      </c>
      <c r="C28" s="40">
        <f t="shared" si="0"/>
        <v>0</v>
      </c>
      <c r="D28" s="40"/>
      <c r="E28" s="50"/>
      <c r="F28" s="50"/>
      <c r="G28" s="50"/>
      <c r="H28" s="50"/>
      <c r="I28" s="50"/>
      <c r="J28" s="50"/>
      <c r="K28" s="50"/>
      <c r="L28" s="50"/>
      <c r="M28" s="71"/>
    </row>
    <row r="29" spans="1:13">
      <c r="A29" s="42" t="s">
        <v>54</v>
      </c>
      <c r="B29" s="44">
        <v>892</v>
      </c>
      <c r="C29" s="40">
        <f t="shared" si="0"/>
        <v>0</v>
      </c>
      <c r="D29" s="40"/>
      <c r="E29" s="50"/>
      <c r="F29" s="50"/>
      <c r="G29" s="50"/>
      <c r="H29" s="50"/>
      <c r="I29" s="50"/>
      <c r="J29" s="50"/>
      <c r="K29" s="50"/>
      <c r="L29" s="50"/>
      <c r="M29" s="52"/>
    </row>
    <row r="30" spans="1:13">
      <c r="A30" s="42" t="s">
        <v>55</v>
      </c>
      <c r="B30" s="44">
        <v>969</v>
      </c>
      <c r="C30" s="40">
        <f t="shared" si="0"/>
        <v>762712.9</v>
      </c>
      <c r="D30" s="40"/>
      <c r="E30" s="50"/>
      <c r="F30" s="50">
        <v>30000</v>
      </c>
      <c r="G30" s="50">
        <v>246080</v>
      </c>
      <c r="H30" s="50">
        <f>200000+50000</f>
        <v>250000</v>
      </c>
      <c r="I30" s="50">
        <v>95000</v>
      </c>
      <c r="J30" s="50">
        <f>5700+30000+337.5</f>
        <v>36037.5</v>
      </c>
      <c r="K30" s="50"/>
      <c r="L30" s="50">
        <f>50000+50000</f>
        <v>100000</v>
      </c>
      <c r="M30" s="52">
        <v>5595.4</v>
      </c>
    </row>
    <row r="31" spans="1:13" ht="2.25" customHeight="1">
      <c r="A31" s="42"/>
      <c r="B31" s="43"/>
      <c r="C31" s="40">
        <f t="shared" ref="C31" si="1">SUM(E31:M31)</f>
        <v>0</v>
      </c>
      <c r="D31" s="43"/>
      <c r="E31" s="50"/>
      <c r="F31" s="50"/>
      <c r="G31" s="50"/>
      <c r="H31" s="50"/>
      <c r="I31" s="50"/>
      <c r="J31" s="50"/>
      <c r="K31" s="50"/>
      <c r="L31" s="50"/>
      <c r="M31" s="52"/>
    </row>
    <row r="32" spans="1:13" ht="15.75" thickBot="1">
      <c r="A32" s="45" t="s">
        <v>4</v>
      </c>
      <c r="B32" s="46"/>
      <c r="C32" s="47">
        <f>SUM(C8:C31)</f>
        <v>26746411.960000001</v>
      </c>
      <c r="D32" s="47"/>
      <c r="E32" s="48">
        <f>SUM(E8:E30)</f>
        <v>519922.28</v>
      </c>
      <c r="F32" s="48">
        <f t="shared" ref="F32:M32" si="2">SUM(F8:F30)</f>
        <v>814500</v>
      </c>
      <c r="G32" s="48">
        <f t="shared" si="2"/>
        <v>9239116</v>
      </c>
      <c r="H32" s="48">
        <f t="shared" si="2"/>
        <v>686648</v>
      </c>
      <c r="I32" s="48">
        <f t="shared" si="2"/>
        <v>259860</v>
      </c>
      <c r="J32" s="48">
        <f t="shared" si="2"/>
        <v>238054.46000000002</v>
      </c>
      <c r="K32" s="48">
        <f t="shared" si="2"/>
        <v>232500</v>
      </c>
      <c r="L32" s="48">
        <f t="shared" si="2"/>
        <v>14612593.75</v>
      </c>
      <c r="M32" s="48">
        <f t="shared" si="2"/>
        <v>143217.47</v>
      </c>
    </row>
    <row r="33" spans="1:14">
      <c r="A33" s="32"/>
      <c r="B33" s="32"/>
      <c r="C33" s="33"/>
      <c r="D33" s="32"/>
      <c r="E33" s="32"/>
      <c r="F33" s="32"/>
      <c r="G33" s="32"/>
      <c r="H33" s="32"/>
      <c r="I33" s="32"/>
      <c r="J33" s="32"/>
      <c r="K33" s="32"/>
    </row>
    <row r="34" spans="1:14" ht="15.75" customHeight="1">
      <c r="A34" s="32"/>
      <c r="B34" s="32"/>
      <c r="C34" s="33"/>
      <c r="D34" s="32"/>
      <c r="E34" s="32"/>
      <c r="F34" s="32"/>
      <c r="G34" s="32"/>
      <c r="H34" s="32"/>
      <c r="I34" s="32"/>
      <c r="J34" s="32"/>
      <c r="K34" s="32"/>
    </row>
    <row r="35" spans="1:14" ht="15.75" customHeight="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</row>
    <row r="36" spans="1:14" ht="15.75" customHeight="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</row>
    <row r="37" spans="1:14" ht="15.75" customHeight="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</row>
    <row r="38" spans="1:14" ht="15.75">
      <c r="A38" s="249" t="s">
        <v>5</v>
      </c>
      <c r="B38" s="249"/>
      <c r="C38" s="249"/>
      <c r="D38" s="249"/>
      <c r="E38" s="249"/>
      <c r="F38" s="249"/>
      <c r="G38" s="249"/>
      <c r="H38" s="249"/>
      <c r="I38" s="249"/>
      <c r="J38" s="249"/>
      <c r="K38" s="249"/>
      <c r="L38" s="249"/>
      <c r="M38" s="249"/>
    </row>
    <row r="39" spans="1:14" ht="15.75">
      <c r="A39" s="249" t="s">
        <v>11</v>
      </c>
      <c r="B39" s="249"/>
      <c r="C39" s="249"/>
      <c r="D39" s="249"/>
      <c r="E39" s="249"/>
      <c r="F39" s="249"/>
      <c r="G39" s="249"/>
      <c r="H39" s="249"/>
      <c r="I39" s="249"/>
      <c r="J39" s="249"/>
      <c r="K39" s="249"/>
      <c r="L39" s="249"/>
      <c r="M39" s="249"/>
    </row>
    <row r="40" spans="1:14" ht="19.5" thickBot="1">
      <c r="A40" s="241" t="s">
        <v>99</v>
      </c>
      <c r="B40" s="241"/>
      <c r="C40" s="241"/>
      <c r="D40" s="241"/>
      <c r="E40" s="241"/>
      <c r="F40" s="241"/>
      <c r="G40" s="241"/>
      <c r="H40" s="241"/>
      <c r="I40" s="241"/>
      <c r="J40" s="241"/>
      <c r="K40" s="241"/>
      <c r="L40" s="241"/>
      <c r="M40" s="241"/>
      <c r="N40" s="241"/>
    </row>
    <row r="41" spans="1:14" ht="38.25">
      <c r="A41" s="229" t="s">
        <v>1</v>
      </c>
      <c r="B41" s="230" t="s">
        <v>2</v>
      </c>
      <c r="C41" s="231" t="s">
        <v>4</v>
      </c>
      <c r="D41" s="231"/>
      <c r="E41" s="232" t="s">
        <v>12</v>
      </c>
      <c r="F41" s="230" t="s">
        <v>17</v>
      </c>
      <c r="G41" s="230" t="s">
        <v>97</v>
      </c>
      <c r="H41" s="230" t="s">
        <v>93</v>
      </c>
      <c r="I41" s="230" t="s">
        <v>13</v>
      </c>
      <c r="J41" s="230" t="s">
        <v>95</v>
      </c>
      <c r="K41" s="230" t="s">
        <v>16</v>
      </c>
      <c r="L41" s="230" t="s">
        <v>67</v>
      </c>
      <c r="M41" s="233" t="s">
        <v>96</v>
      </c>
    </row>
    <row r="42" spans="1:14" ht="3.75" customHeight="1" thickBot="1">
      <c r="A42" s="20"/>
      <c r="B42" s="21"/>
      <c r="C42" s="21"/>
      <c r="D42" s="21"/>
      <c r="E42" s="225"/>
      <c r="F42" s="225"/>
      <c r="G42" s="225"/>
      <c r="H42" s="225"/>
      <c r="I42" s="225"/>
      <c r="J42" s="225"/>
      <c r="K42" s="225"/>
      <c r="L42" s="227"/>
      <c r="M42" s="228"/>
    </row>
    <row r="43" spans="1:14" ht="1.5" customHeight="1">
      <c r="A43" s="18"/>
      <c r="B43" s="19"/>
      <c r="C43" s="19"/>
      <c r="D43" s="19"/>
      <c r="E43" s="30"/>
      <c r="F43" s="30"/>
      <c r="G43" s="30"/>
      <c r="H43" s="30"/>
      <c r="I43" s="30"/>
      <c r="J43" s="30"/>
      <c r="K43" s="30"/>
      <c r="L43" s="10"/>
      <c r="M43" s="75"/>
    </row>
    <row r="44" spans="1:14">
      <c r="A44" s="42" t="s">
        <v>60</v>
      </c>
      <c r="B44" s="44">
        <v>751</v>
      </c>
      <c r="C44" s="40">
        <f>SUM(E44:M44)</f>
        <v>10013</v>
      </c>
      <c r="D44" s="40"/>
      <c r="E44" s="50"/>
      <c r="F44" s="50"/>
      <c r="G44" s="50"/>
      <c r="H44" s="50"/>
      <c r="I44" s="50"/>
      <c r="J44" s="50">
        <f>6893+3120</f>
        <v>10013</v>
      </c>
      <c r="K44" s="50"/>
      <c r="L44" s="50"/>
      <c r="M44" s="71"/>
    </row>
    <row r="45" spans="1:14">
      <c r="A45" s="42" t="s">
        <v>61</v>
      </c>
      <c r="B45" s="44">
        <v>753</v>
      </c>
      <c r="C45" s="40">
        <f t="shared" ref="C45:C66" si="3">SUM(E45:M45)</f>
        <v>8200</v>
      </c>
      <c r="D45" s="40"/>
      <c r="E45" s="50">
        <f>1000</f>
        <v>1000</v>
      </c>
      <c r="F45" s="50"/>
      <c r="G45" s="50"/>
      <c r="H45" s="50"/>
      <c r="I45" s="50"/>
      <c r="J45" s="50">
        <v>7200</v>
      </c>
      <c r="K45" s="50"/>
      <c r="L45" s="50"/>
      <c r="M45" s="71"/>
    </row>
    <row r="46" spans="1:14">
      <c r="A46" s="42" t="s">
        <v>36</v>
      </c>
      <c r="B46" s="44">
        <v>755</v>
      </c>
      <c r="C46" s="40">
        <f t="shared" si="3"/>
        <v>33417.5</v>
      </c>
      <c r="D46" s="40"/>
      <c r="E46" s="50"/>
      <c r="F46" s="50"/>
      <c r="G46" s="50"/>
      <c r="H46" s="50"/>
      <c r="I46" s="50">
        <f>1100</f>
        <v>1100</v>
      </c>
      <c r="J46" s="50">
        <v>32317.5</v>
      </c>
      <c r="K46" s="50"/>
      <c r="L46" s="50"/>
      <c r="M46" s="71"/>
    </row>
    <row r="47" spans="1:14">
      <c r="A47" s="42" t="s">
        <v>37</v>
      </c>
      <c r="B47" s="44">
        <v>756</v>
      </c>
      <c r="C47" s="40">
        <f t="shared" si="3"/>
        <v>1458.75</v>
      </c>
      <c r="D47" s="40"/>
      <c r="E47" s="50"/>
      <c r="F47" s="50"/>
      <c r="G47" s="50">
        <f>141.75+177.25+153.75+212.75+214.75+180.75+200.5+177.25</f>
        <v>1458.75</v>
      </c>
      <c r="H47" s="50"/>
      <c r="I47" s="50"/>
      <c r="J47" s="50"/>
      <c r="K47" s="50"/>
      <c r="L47" s="50"/>
      <c r="M47" s="71"/>
    </row>
    <row r="48" spans="1:14">
      <c r="A48" s="42" t="s">
        <v>38</v>
      </c>
      <c r="B48" s="44">
        <v>757</v>
      </c>
      <c r="C48" s="40">
        <f t="shared" si="3"/>
        <v>0</v>
      </c>
      <c r="D48" s="40"/>
      <c r="E48" s="50"/>
      <c r="F48" s="50"/>
      <c r="G48" s="50"/>
      <c r="H48" s="50"/>
      <c r="I48" s="50"/>
      <c r="J48" s="50"/>
      <c r="K48" s="50"/>
      <c r="L48" s="50"/>
      <c r="M48" s="71"/>
    </row>
    <row r="49" spans="1:13">
      <c r="A49" s="42" t="s">
        <v>39</v>
      </c>
      <c r="B49" s="44">
        <v>761</v>
      </c>
      <c r="C49" s="40">
        <f t="shared" si="3"/>
        <v>860</v>
      </c>
      <c r="D49" s="40"/>
      <c r="E49" s="50">
        <f>860</f>
        <v>860</v>
      </c>
      <c r="F49" s="50"/>
      <c r="G49" s="50"/>
      <c r="H49" s="50"/>
      <c r="I49" s="50"/>
      <c r="J49" s="50"/>
      <c r="K49" s="50"/>
      <c r="L49" s="50"/>
      <c r="M49" s="76"/>
    </row>
    <row r="50" spans="1:13">
      <c r="A50" s="42" t="s">
        <v>40</v>
      </c>
      <c r="B50" s="44">
        <v>762</v>
      </c>
      <c r="C50" s="40">
        <f t="shared" si="3"/>
        <v>0</v>
      </c>
      <c r="D50" s="40"/>
      <c r="E50" s="50"/>
      <c r="F50" s="50"/>
      <c r="G50" s="50"/>
      <c r="H50" s="50"/>
      <c r="I50" s="50"/>
      <c r="J50" s="50"/>
      <c r="K50" s="50"/>
      <c r="L50" s="50"/>
      <c r="M50" s="71"/>
    </row>
    <row r="51" spans="1:13">
      <c r="A51" s="42" t="s">
        <v>41</v>
      </c>
      <c r="B51" s="44">
        <v>765</v>
      </c>
      <c r="C51" s="40">
        <f t="shared" si="3"/>
        <v>19724171.169999998</v>
      </c>
      <c r="D51" s="40"/>
      <c r="E51" s="50">
        <f>52134.5+40857+45003.11+29800.75+29472+36258.93+22982.2+134390.36+119249.47+72770.47+171105.89+184990.32+348059.24+209821.25</f>
        <v>1496895.49</v>
      </c>
      <c r="F51" s="50">
        <f>2631+12396+68096.48+100093.13</f>
        <v>183216.61</v>
      </c>
      <c r="G51" s="50">
        <f>403783.64+372224.52+347006.63+314468.8+277049.46+297508.61+372409.18+396260.91+312597.73+384835.71+304160.47+448854.23+61818.47</f>
        <v>4292978.3600000003</v>
      </c>
      <c r="H51" s="50">
        <v>19606.55</v>
      </c>
      <c r="I51" s="50">
        <f>4999+14975+4671.25+4856.5+22877.25+4786.5+37155+4845+4858.77</f>
        <v>104024.27</v>
      </c>
      <c r="J51" s="50">
        <v>125918.52</v>
      </c>
      <c r="K51" s="50">
        <f>4999+49720.6+6240.75+23277+44730+45736.05+8099</f>
        <v>182802.40000000002</v>
      </c>
      <c r="L51" s="50">
        <f>736940.1+1344288.85+521570.95+1301251.81+1274495.65+1275036.18+1431195.26+1189786.71+113503.87+1925960.93+20330+1109385.8+919692.86</f>
        <v>13163438.969999999</v>
      </c>
      <c r="M51" s="52">
        <f>10000+8806+13213+19240+9941+10476+9430+21175+24734+28275</f>
        <v>155290</v>
      </c>
    </row>
    <row r="52" spans="1:13">
      <c r="A52" s="42" t="s">
        <v>42</v>
      </c>
      <c r="B52" s="44">
        <v>766</v>
      </c>
      <c r="C52" s="40">
        <f t="shared" si="3"/>
        <v>23870</v>
      </c>
      <c r="D52" s="40"/>
      <c r="E52" s="50">
        <f>260+250+280+250+280+320+280+190+110</f>
        <v>2220</v>
      </c>
      <c r="F52" s="50">
        <f>210+100+100</f>
        <v>410</v>
      </c>
      <c r="G52" s="50">
        <f>540+280+420+400+350+540+540+100+240</f>
        <v>3410</v>
      </c>
      <c r="H52" s="50"/>
      <c r="I52" s="50">
        <f>1943+2978+2169+990+720+450+790+3720+4070</f>
        <v>17830</v>
      </c>
      <c r="J52" s="50"/>
      <c r="K52" s="50"/>
      <c r="L52" s="50"/>
      <c r="M52" s="71"/>
    </row>
    <row r="53" spans="1:13">
      <c r="A53" s="42" t="s">
        <v>43</v>
      </c>
      <c r="B53" s="44">
        <v>767</v>
      </c>
      <c r="C53" s="40">
        <f t="shared" si="3"/>
        <v>415383.86000000004</v>
      </c>
      <c r="D53" s="40"/>
      <c r="E53" s="50">
        <f>5363.57+2171.41+2398.24+2078.62+2043.56+2326.07+1882.71+1931.47+1793.26</f>
        <v>21988.91</v>
      </c>
      <c r="F53" s="50">
        <f>1309.42+3206.57+2773.51</f>
        <v>7289.5</v>
      </c>
      <c r="G53" s="50">
        <f>3390.47+2503.76+2545+4009.11+2586.24+2916.18+3720.41+3380.16+2680.1+1858.1</f>
        <v>29589.529999999995</v>
      </c>
      <c r="H53" s="50">
        <f>55035.11+18045.76+38516.07+16995.16+15099.93+11504.3+11972.41+13154.32+12570.98+15046.71</f>
        <v>207940.75</v>
      </c>
      <c r="I53" s="50">
        <f>10304.56+1582.71+5310.59+9646.01+1691.78+5186.36+2805.26+3513.69+6348.87+9254.68+12232.01+9738.46</f>
        <v>77614.98000000001</v>
      </c>
      <c r="J53" s="50"/>
      <c r="K53" s="50">
        <f>744.46+661.52+630.42+837.76+734.09+848.12+765.19+578.59+464.94+230.23</f>
        <v>6495.3199999999988</v>
      </c>
      <c r="L53" s="50">
        <f>8593.44+4276.17+5188.29+5115.85+5460.53+5728.51+5596+5097.57+6101.63+13306.88</f>
        <v>64464.869999999995</v>
      </c>
      <c r="M53" s="71"/>
    </row>
    <row r="54" spans="1:13">
      <c r="A54" s="42" t="s">
        <v>44</v>
      </c>
      <c r="B54" s="44">
        <v>768</v>
      </c>
      <c r="C54" s="40">
        <f t="shared" si="3"/>
        <v>0</v>
      </c>
      <c r="D54" s="40"/>
      <c r="E54" s="50"/>
      <c r="F54" s="50"/>
      <c r="G54" s="50"/>
      <c r="H54" s="50"/>
      <c r="I54" s="50"/>
      <c r="J54" s="50"/>
      <c r="K54" s="50"/>
      <c r="L54" s="50"/>
      <c r="M54" s="71"/>
    </row>
    <row r="55" spans="1:13">
      <c r="A55" s="42" t="s">
        <v>45</v>
      </c>
      <c r="B55" s="44">
        <v>772</v>
      </c>
      <c r="C55" s="40">
        <f t="shared" si="3"/>
        <v>57032.81</v>
      </c>
      <c r="D55" s="40"/>
      <c r="E55" s="50"/>
      <c r="F55" s="50">
        <f>4195.12+2097.56+3146.34+1048.78+1070.15</f>
        <v>11557.95</v>
      </c>
      <c r="G55" s="50"/>
      <c r="H55" s="50">
        <f>3830.52+2199.01+2204.61+2199.01+2199.01+2320.4+2333.41+2333.41+2333.41+2333.4</f>
        <v>24286.190000000002</v>
      </c>
      <c r="I55" s="50"/>
      <c r="J55" s="50"/>
      <c r="K55" s="50"/>
      <c r="L55" s="50">
        <f>2718.76+1359.38+1359.38+1359.38+1359.38+2718.76+1365.49+1359.38+1359.38+1359.38+2435+2435</f>
        <v>21188.670000000002</v>
      </c>
      <c r="M55" s="71"/>
    </row>
    <row r="56" spans="1:13">
      <c r="A56" s="42" t="s">
        <v>46</v>
      </c>
      <c r="B56" s="44">
        <v>773</v>
      </c>
      <c r="C56" s="40">
        <f t="shared" si="3"/>
        <v>0</v>
      </c>
      <c r="D56" s="40"/>
      <c r="E56" s="50"/>
      <c r="F56" s="50"/>
      <c r="G56" s="50"/>
      <c r="H56" s="50"/>
      <c r="I56" s="50"/>
      <c r="J56" s="50"/>
      <c r="K56" s="50"/>
      <c r="L56" s="50"/>
      <c r="M56" s="71"/>
    </row>
    <row r="57" spans="1:13" ht="14.25" customHeight="1">
      <c r="A57" s="42" t="s">
        <v>47</v>
      </c>
      <c r="B57" s="44">
        <v>775</v>
      </c>
      <c r="C57" s="40">
        <f t="shared" si="3"/>
        <v>33700</v>
      </c>
      <c r="D57" s="40"/>
      <c r="E57" s="50"/>
      <c r="F57" s="50"/>
      <c r="G57" s="50"/>
      <c r="H57" s="50">
        <f>2500+1250+1250+1250+1250+1250+1250+1250+1250+1250+1250</f>
        <v>15000</v>
      </c>
      <c r="I57" s="50">
        <f>2750+1650+1650+2200+1100+550+1650+1650+1650+2200+1100+550</f>
        <v>18700</v>
      </c>
      <c r="J57" s="50"/>
      <c r="K57" s="50"/>
      <c r="L57" s="50"/>
      <c r="M57" s="71"/>
    </row>
    <row r="58" spans="1:13" ht="16.5" customHeight="1">
      <c r="A58" s="42" t="s">
        <v>48</v>
      </c>
      <c r="B58" s="44">
        <v>780</v>
      </c>
      <c r="C58" s="40">
        <f t="shared" si="3"/>
        <v>0</v>
      </c>
      <c r="D58" s="40"/>
      <c r="E58" s="50"/>
      <c r="F58" s="50"/>
      <c r="G58" s="50"/>
      <c r="H58" s="50"/>
      <c r="I58" s="50"/>
      <c r="J58" s="50"/>
      <c r="K58" s="50"/>
      <c r="L58" s="50"/>
      <c r="M58" s="71"/>
    </row>
    <row r="59" spans="1:13">
      <c r="A59" s="42" t="s">
        <v>49</v>
      </c>
      <c r="B59" s="44">
        <v>781</v>
      </c>
      <c r="C59" s="40">
        <f t="shared" si="3"/>
        <v>10800</v>
      </c>
      <c r="D59" s="40"/>
      <c r="E59" s="50"/>
      <c r="F59" s="50"/>
      <c r="G59" s="50"/>
      <c r="H59" s="50"/>
      <c r="I59" s="50">
        <f>10800</f>
        <v>10800</v>
      </c>
      <c r="J59" s="50"/>
      <c r="K59" s="50"/>
      <c r="L59" s="50"/>
      <c r="M59" s="71"/>
    </row>
    <row r="60" spans="1:13">
      <c r="A60" s="42" t="s">
        <v>50</v>
      </c>
      <c r="B60" s="44">
        <v>782</v>
      </c>
      <c r="C60" s="40">
        <f t="shared" si="3"/>
        <v>14990</v>
      </c>
      <c r="D60" s="40"/>
      <c r="E60" s="50"/>
      <c r="F60" s="50"/>
      <c r="G60" s="50">
        <f>2990+2400+2400+2400+2400+2400</f>
        <v>14990</v>
      </c>
      <c r="H60" s="50"/>
      <c r="I60" s="50"/>
      <c r="J60" s="50"/>
      <c r="K60" s="50"/>
      <c r="L60" s="50"/>
      <c r="M60" s="71"/>
    </row>
    <row r="61" spans="1:13">
      <c r="A61" s="42" t="s">
        <v>51</v>
      </c>
      <c r="B61" s="44">
        <v>784</v>
      </c>
      <c r="C61" s="40">
        <f t="shared" si="3"/>
        <v>0</v>
      </c>
      <c r="D61" s="40"/>
      <c r="E61" s="50"/>
      <c r="F61" s="50"/>
      <c r="G61" s="50"/>
      <c r="H61" s="50"/>
      <c r="I61" s="50"/>
      <c r="J61" s="50"/>
      <c r="K61" s="50"/>
      <c r="L61" s="50"/>
      <c r="M61" s="71"/>
    </row>
    <row r="62" spans="1:13">
      <c r="A62" s="42" t="s">
        <v>52</v>
      </c>
      <c r="B62" s="44">
        <v>815</v>
      </c>
      <c r="C62" s="40">
        <f t="shared" si="3"/>
        <v>568836.25</v>
      </c>
      <c r="D62" s="40"/>
      <c r="E62" s="50"/>
      <c r="F62" s="50"/>
      <c r="G62" s="50"/>
      <c r="H62" s="50">
        <f>297926+84523</f>
        <v>382449</v>
      </c>
      <c r="I62" s="50">
        <v>186387.25</v>
      </c>
      <c r="J62" s="50"/>
      <c r="K62" s="50"/>
      <c r="L62" s="50"/>
      <c r="M62" s="71"/>
    </row>
    <row r="63" spans="1:13">
      <c r="A63" s="42" t="s">
        <v>53</v>
      </c>
      <c r="B63" s="44">
        <v>826</v>
      </c>
      <c r="C63" s="40">
        <f t="shared" si="3"/>
        <v>18350</v>
      </c>
      <c r="D63" s="40"/>
      <c r="E63" s="50"/>
      <c r="F63" s="50"/>
      <c r="G63" s="50"/>
      <c r="H63" s="50">
        <v>18350</v>
      </c>
      <c r="I63" s="50"/>
      <c r="J63" s="50"/>
      <c r="K63" s="50"/>
      <c r="L63" s="50"/>
      <c r="M63" s="77"/>
    </row>
    <row r="64" spans="1:13">
      <c r="A64" s="42" t="s">
        <v>62</v>
      </c>
      <c r="B64" s="44">
        <v>841</v>
      </c>
      <c r="C64" s="40">
        <f t="shared" si="3"/>
        <v>0</v>
      </c>
      <c r="D64" s="40"/>
      <c r="E64" s="50"/>
      <c r="F64" s="50"/>
      <c r="G64" s="50"/>
      <c r="H64" s="50"/>
      <c r="I64" s="50"/>
      <c r="J64" s="50"/>
      <c r="K64" s="50"/>
      <c r="L64" s="50"/>
      <c r="M64" s="71"/>
    </row>
    <row r="65" spans="1:14" ht="17.25" customHeight="1">
      <c r="A65" s="42" t="s">
        <v>54</v>
      </c>
      <c r="B65" s="44">
        <v>892</v>
      </c>
      <c r="C65" s="40">
        <f t="shared" si="3"/>
        <v>450</v>
      </c>
      <c r="D65" s="40"/>
      <c r="E65" s="50"/>
      <c r="F65" s="50"/>
      <c r="G65" s="50"/>
      <c r="H65" s="50"/>
      <c r="I65" s="50">
        <v>450</v>
      </c>
      <c r="J65" s="50"/>
      <c r="K65" s="50"/>
      <c r="L65" s="50"/>
      <c r="M65" s="52"/>
    </row>
    <row r="66" spans="1:14">
      <c r="A66" s="42" t="s">
        <v>55</v>
      </c>
      <c r="B66" s="44">
        <v>969</v>
      </c>
      <c r="C66" s="40">
        <f t="shared" si="3"/>
        <v>557743</v>
      </c>
      <c r="D66" s="40"/>
      <c r="E66" s="50">
        <f>1125+140808.62</f>
        <v>141933.62</v>
      </c>
      <c r="F66" s="50"/>
      <c r="G66" s="50">
        <f>2400+2400+2400+56615.62+2400</f>
        <v>66215.62</v>
      </c>
      <c r="H66" s="50">
        <f>56615.62+2300</f>
        <v>58915.62</v>
      </c>
      <c r="I66" s="50">
        <f>58615.62+2100</f>
        <v>60715.62</v>
      </c>
      <c r="J66" s="50">
        <v>56615.63</v>
      </c>
      <c r="K66" s="50">
        <v>56615.63</v>
      </c>
      <c r="L66" s="50">
        <f>2000+56615.63+1500</f>
        <v>60115.63</v>
      </c>
      <c r="M66" s="52">
        <f>56615.63</f>
        <v>56615.63</v>
      </c>
    </row>
    <row r="67" spans="1:14" ht="2.25" customHeight="1">
      <c r="A67" s="42"/>
      <c r="B67" s="43"/>
      <c r="C67" s="43"/>
      <c r="D67" s="43"/>
      <c r="E67" s="50"/>
      <c r="F67" s="50"/>
      <c r="G67" s="50"/>
      <c r="H67" s="50"/>
      <c r="I67" s="50"/>
      <c r="J67" s="50"/>
      <c r="K67" s="50"/>
      <c r="L67" s="50"/>
      <c r="M67" s="52"/>
    </row>
    <row r="68" spans="1:14" ht="15.75" thickBot="1">
      <c r="A68" s="45" t="s">
        <v>4</v>
      </c>
      <c r="B68" s="46"/>
      <c r="C68" s="47">
        <f>SUM(E68:M68)</f>
        <v>21479276.34</v>
      </c>
      <c r="D68" s="47"/>
      <c r="E68" s="48">
        <f>SUM(E44:E66)</f>
        <v>1664898.02</v>
      </c>
      <c r="F68" s="48">
        <f t="shared" ref="F68:M68" si="4">SUM(F44:F66)</f>
        <v>202474.06</v>
      </c>
      <c r="G68" s="48">
        <f t="shared" si="4"/>
        <v>4408642.2600000007</v>
      </c>
      <c r="H68" s="48">
        <f t="shared" si="4"/>
        <v>726548.11</v>
      </c>
      <c r="I68" s="48">
        <f t="shared" si="4"/>
        <v>477622.12</v>
      </c>
      <c r="J68" s="48">
        <f t="shared" si="4"/>
        <v>232064.65000000002</v>
      </c>
      <c r="K68" s="48">
        <f t="shared" si="4"/>
        <v>245913.35000000003</v>
      </c>
      <c r="L68" s="48">
        <f t="shared" si="4"/>
        <v>13309208.139999999</v>
      </c>
      <c r="M68" s="48">
        <f t="shared" si="4"/>
        <v>211905.63</v>
      </c>
    </row>
    <row r="69" spans="1:14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</row>
    <row r="70" spans="1:14">
      <c r="A70" s="32"/>
      <c r="B70" s="32"/>
      <c r="C70" s="33"/>
      <c r="D70" s="32"/>
      <c r="E70" s="33"/>
      <c r="F70" s="33"/>
      <c r="G70" s="33"/>
      <c r="H70" s="32"/>
      <c r="I70" s="32"/>
      <c r="J70" s="32"/>
      <c r="K70" s="32"/>
    </row>
    <row r="71" spans="1:14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</row>
    <row r="72" spans="1:14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</row>
    <row r="73" spans="1:14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</row>
    <row r="74" spans="1:14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</row>
    <row r="75" spans="1:14" s="31" customFormat="1">
      <c r="A75" s="248" t="s">
        <v>11</v>
      </c>
      <c r="B75" s="248"/>
      <c r="C75" s="248"/>
      <c r="D75" s="248"/>
      <c r="E75" s="248"/>
      <c r="F75" s="248"/>
      <c r="G75" s="248"/>
      <c r="H75" s="248"/>
      <c r="I75" s="248"/>
      <c r="J75" s="248"/>
      <c r="K75" s="248"/>
      <c r="L75" s="248"/>
      <c r="M75" s="248"/>
    </row>
    <row r="76" spans="1:14" s="31" customFormat="1">
      <c r="A76" s="248" t="s">
        <v>6</v>
      </c>
      <c r="B76" s="248"/>
      <c r="C76" s="248"/>
      <c r="D76" s="248"/>
      <c r="E76" s="248"/>
      <c r="F76" s="248"/>
      <c r="G76" s="248"/>
      <c r="H76" s="248"/>
      <c r="I76" s="248"/>
      <c r="J76" s="248"/>
      <c r="K76" s="248"/>
      <c r="L76" s="248"/>
      <c r="M76" s="248"/>
    </row>
    <row r="77" spans="1:14" s="31" customFormat="1" ht="19.5" thickBot="1">
      <c r="A77" s="241" t="s">
        <v>99</v>
      </c>
      <c r="B77" s="241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</row>
    <row r="78" spans="1:14" ht="38.25">
      <c r="A78" s="236" t="s">
        <v>1</v>
      </c>
      <c r="B78" s="231" t="s">
        <v>2</v>
      </c>
      <c r="C78" s="231" t="s">
        <v>4</v>
      </c>
      <c r="D78" s="231"/>
      <c r="E78" s="230" t="s">
        <v>12</v>
      </c>
      <c r="F78" s="231" t="s">
        <v>17</v>
      </c>
      <c r="G78" s="230" t="s">
        <v>97</v>
      </c>
      <c r="H78" s="230" t="s">
        <v>93</v>
      </c>
      <c r="I78" s="231" t="s">
        <v>13</v>
      </c>
      <c r="J78" s="230" t="s">
        <v>95</v>
      </c>
      <c r="K78" s="231" t="s">
        <v>16</v>
      </c>
      <c r="L78" s="231" t="s">
        <v>67</v>
      </c>
      <c r="M78" s="237" t="s">
        <v>96</v>
      </c>
    </row>
    <row r="79" spans="1:14" ht="1.5" customHeight="1" thickBot="1">
      <c r="A79" s="79"/>
      <c r="B79" s="78"/>
      <c r="C79" s="78"/>
      <c r="D79" s="78"/>
      <c r="E79" s="234"/>
      <c r="F79" s="72"/>
      <c r="G79" s="227"/>
      <c r="H79" s="234"/>
      <c r="I79" s="72"/>
      <c r="J79" s="234"/>
      <c r="K79" s="72"/>
      <c r="L79" s="73"/>
      <c r="M79" s="235"/>
    </row>
    <row r="80" spans="1:14" ht="1.5" customHeight="1" thickBot="1">
      <c r="A80" s="20"/>
      <c r="B80" s="21"/>
      <c r="C80" s="21"/>
      <c r="D80" s="21"/>
      <c r="E80" s="29"/>
      <c r="F80" s="29"/>
      <c r="G80" s="29"/>
      <c r="H80" s="29"/>
      <c r="I80" s="29"/>
      <c r="J80" s="29"/>
      <c r="K80" s="29"/>
      <c r="L80" s="81"/>
      <c r="M80" s="82"/>
    </row>
    <row r="81" spans="1:13">
      <c r="A81" s="38" t="s">
        <v>60</v>
      </c>
      <c r="B81" s="39">
        <v>751</v>
      </c>
      <c r="C81" s="41">
        <f>SUM(E81:L81)</f>
        <v>-10013</v>
      </c>
      <c r="D81" s="41"/>
      <c r="E81" s="80">
        <f t="shared" ref="E81:M81" si="5">+E8-E44</f>
        <v>0</v>
      </c>
      <c r="F81" s="80">
        <f t="shared" si="5"/>
        <v>0</v>
      </c>
      <c r="G81" s="80">
        <f t="shared" si="5"/>
        <v>0</v>
      </c>
      <c r="H81" s="80">
        <f t="shared" si="5"/>
        <v>0</v>
      </c>
      <c r="I81" s="80">
        <f t="shared" si="5"/>
        <v>0</v>
      </c>
      <c r="J81" s="80">
        <f t="shared" si="5"/>
        <v>-10013</v>
      </c>
      <c r="K81" s="80">
        <f t="shared" si="5"/>
        <v>0</v>
      </c>
      <c r="L81" s="80">
        <f t="shared" si="5"/>
        <v>0</v>
      </c>
      <c r="M81" s="80">
        <f t="shared" si="5"/>
        <v>0</v>
      </c>
    </row>
    <row r="82" spans="1:13">
      <c r="A82" s="42" t="s">
        <v>61</v>
      </c>
      <c r="B82" s="44">
        <v>753</v>
      </c>
      <c r="C82" s="40">
        <f>SUM(E82:L82)</f>
        <v>-8200</v>
      </c>
      <c r="D82" s="40"/>
      <c r="E82" s="80">
        <f t="shared" ref="E82:M82" si="6">+E9-E45</f>
        <v>-1000</v>
      </c>
      <c r="F82" s="80">
        <f t="shared" si="6"/>
        <v>0</v>
      </c>
      <c r="G82" s="80">
        <f t="shared" si="6"/>
        <v>0</v>
      </c>
      <c r="H82" s="80">
        <f t="shared" si="6"/>
        <v>0</v>
      </c>
      <c r="I82" s="80">
        <f t="shared" si="6"/>
        <v>0</v>
      </c>
      <c r="J82" s="80">
        <f t="shared" si="6"/>
        <v>-7200</v>
      </c>
      <c r="K82" s="80">
        <f t="shared" si="6"/>
        <v>0</v>
      </c>
      <c r="L82" s="80">
        <f t="shared" si="6"/>
        <v>0</v>
      </c>
      <c r="M82" s="80">
        <f t="shared" si="6"/>
        <v>0</v>
      </c>
    </row>
    <row r="83" spans="1:13">
      <c r="A83" s="42" t="s">
        <v>36</v>
      </c>
      <c r="B83" s="44">
        <v>755</v>
      </c>
      <c r="C83" s="40">
        <f>SUM(E83:L83)</f>
        <v>187234.5</v>
      </c>
      <c r="D83" s="40"/>
      <c r="E83" s="80">
        <f t="shared" ref="E83:M83" si="7">+E10-E46</f>
        <v>0</v>
      </c>
      <c r="F83" s="80">
        <f t="shared" si="7"/>
        <v>10000</v>
      </c>
      <c r="G83" s="80">
        <f t="shared" si="7"/>
        <v>177452</v>
      </c>
      <c r="H83" s="80">
        <f t="shared" si="7"/>
        <v>15000</v>
      </c>
      <c r="I83" s="80">
        <f t="shared" si="7"/>
        <v>12100</v>
      </c>
      <c r="J83" s="80">
        <f t="shared" si="7"/>
        <v>-32317.5</v>
      </c>
      <c r="K83" s="80">
        <f t="shared" si="7"/>
        <v>0</v>
      </c>
      <c r="L83" s="80">
        <f t="shared" si="7"/>
        <v>5000</v>
      </c>
      <c r="M83" s="80">
        <f t="shared" si="7"/>
        <v>0</v>
      </c>
    </row>
    <row r="84" spans="1:13" ht="15" customHeight="1">
      <c r="A84" s="42" t="s">
        <v>37</v>
      </c>
      <c r="B84" s="44">
        <v>756</v>
      </c>
      <c r="C84" s="40">
        <f>SUM(E84:M84)</f>
        <v>34573.5</v>
      </c>
      <c r="D84" s="40"/>
      <c r="E84" s="80">
        <f t="shared" ref="E84:M84" si="8">+E11-E47</f>
        <v>1000</v>
      </c>
      <c r="F84" s="80">
        <f t="shared" si="8"/>
        <v>500</v>
      </c>
      <c r="G84" s="80">
        <f t="shared" si="8"/>
        <v>3341.25</v>
      </c>
      <c r="H84" s="80">
        <f t="shared" si="8"/>
        <v>4248</v>
      </c>
      <c r="I84" s="80">
        <f t="shared" si="8"/>
        <v>6660</v>
      </c>
      <c r="J84" s="80">
        <f t="shared" si="8"/>
        <v>6500</v>
      </c>
      <c r="K84" s="80">
        <f t="shared" si="8"/>
        <v>3500</v>
      </c>
      <c r="L84" s="80">
        <f t="shared" si="8"/>
        <v>8000</v>
      </c>
      <c r="M84" s="80">
        <f t="shared" si="8"/>
        <v>824.25</v>
      </c>
    </row>
    <row r="85" spans="1:13">
      <c r="A85" s="42" t="s">
        <v>38</v>
      </c>
      <c r="B85" s="44">
        <v>757</v>
      </c>
      <c r="C85" s="40">
        <f t="shared" ref="C85:C102" si="9">SUM(E85:L85)</f>
        <v>0</v>
      </c>
      <c r="D85" s="40"/>
      <c r="E85" s="80">
        <f t="shared" ref="E85:M85" si="10">+E12-E48</f>
        <v>0</v>
      </c>
      <c r="F85" s="80">
        <f t="shared" si="10"/>
        <v>0</v>
      </c>
      <c r="G85" s="80">
        <f t="shared" si="10"/>
        <v>0</v>
      </c>
      <c r="H85" s="80">
        <f t="shared" si="10"/>
        <v>0</v>
      </c>
      <c r="I85" s="80">
        <f t="shared" si="10"/>
        <v>0</v>
      </c>
      <c r="J85" s="80">
        <f t="shared" si="10"/>
        <v>0</v>
      </c>
      <c r="K85" s="80">
        <f t="shared" si="10"/>
        <v>0</v>
      </c>
      <c r="L85" s="80">
        <f t="shared" si="10"/>
        <v>0</v>
      </c>
      <c r="M85" s="80">
        <f t="shared" si="10"/>
        <v>0</v>
      </c>
    </row>
    <row r="86" spans="1:13">
      <c r="A86" s="42" t="s">
        <v>39</v>
      </c>
      <c r="B86" s="44">
        <v>761</v>
      </c>
      <c r="C86" s="40">
        <f t="shared" si="9"/>
        <v>303340</v>
      </c>
      <c r="D86" s="40"/>
      <c r="E86" s="80">
        <f t="shared" ref="E86:M86" si="11">+E13-E49</f>
        <v>26140</v>
      </c>
      <c r="F86" s="80">
        <f t="shared" si="11"/>
        <v>36000</v>
      </c>
      <c r="G86" s="80">
        <f t="shared" si="11"/>
        <v>241200</v>
      </c>
      <c r="H86" s="80">
        <f t="shared" si="11"/>
        <v>0</v>
      </c>
      <c r="I86" s="80">
        <f t="shared" si="11"/>
        <v>0</v>
      </c>
      <c r="J86" s="80">
        <f t="shared" si="11"/>
        <v>0</v>
      </c>
      <c r="K86" s="80">
        <f t="shared" si="11"/>
        <v>0</v>
      </c>
      <c r="L86" s="80">
        <f t="shared" si="11"/>
        <v>0</v>
      </c>
      <c r="M86" s="80">
        <f t="shared" si="11"/>
        <v>0</v>
      </c>
    </row>
    <row r="87" spans="1:13">
      <c r="A87" s="42" t="s">
        <v>40</v>
      </c>
      <c r="B87" s="44">
        <v>762</v>
      </c>
      <c r="C87" s="40">
        <f t="shared" si="9"/>
        <v>0</v>
      </c>
      <c r="D87" s="40"/>
      <c r="E87" s="80">
        <f t="shared" ref="E87:M87" si="12">+E14-E50</f>
        <v>0</v>
      </c>
      <c r="F87" s="80">
        <f t="shared" si="12"/>
        <v>0</v>
      </c>
      <c r="G87" s="80">
        <f t="shared" si="12"/>
        <v>0</v>
      </c>
      <c r="H87" s="80">
        <f t="shared" si="12"/>
        <v>0</v>
      </c>
      <c r="I87" s="80">
        <f t="shared" si="12"/>
        <v>0</v>
      </c>
      <c r="J87" s="80">
        <f t="shared" si="12"/>
        <v>0</v>
      </c>
      <c r="K87" s="80">
        <f t="shared" si="12"/>
        <v>0</v>
      </c>
      <c r="L87" s="80">
        <f t="shared" si="12"/>
        <v>0</v>
      </c>
      <c r="M87" s="80">
        <f t="shared" si="12"/>
        <v>0</v>
      </c>
    </row>
    <row r="88" spans="1:13">
      <c r="A88" s="42" t="s">
        <v>41</v>
      </c>
      <c r="B88" s="44">
        <v>765</v>
      </c>
      <c r="C88" s="40">
        <f>SUM(E88:M88)</f>
        <v>4572876.6800000016</v>
      </c>
      <c r="D88" s="40"/>
      <c r="E88" s="80">
        <f t="shared" ref="E88:M88" si="13">+E15-E51</f>
        <v>-1060473.21</v>
      </c>
      <c r="F88" s="80">
        <f t="shared" si="13"/>
        <v>491783.39</v>
      </c>
      <c r="G88" s="80">
        <f t="shared" si="13"/>
        <v>4138205.6399999997</v>
      </c>
      <c r="H88" s="80">
        <f t="shared" si="13"/>
        <v>-19606.55</v>
      </c>
      <c r="I88" s="80">
        <f t="shared" si="13"/>
        <v>-104024.27</v>
      </c>
      <c r="J88" s="80">
        <f t="shared" si="13"/>
        <v>-62868.520000000004</v>
      </c>
      <c r="K88" s="80">
        <f t="shared" si="13"/>
        <v>32197.599999999977</v>
      </c>
      <c r="L88" s="80">
        <f t="shared" si="13"/>
        <v>1176154.7800000012</v>
      </c>
      <c r="M88" s="80">
        <f t="shared" si="13"/>
        <v>-18492.179999999993</v>
      </c>
    </row>
    <row r="89" spans="1:13">
      <c r="A89" s="42" t="s">
        <v>42</v>
      </c>
      <c r="B89" s="44">
        <v>766</v>
      </c>
      <c r="C89" s="40">
        <f t="shared" si="9"/>
        <v>34</v>
      </c>
      <c r="D89" s="40"/>
      <c r="E89" s="80">
        <f t="shared" ref="E89:M89" si="14">+E16-E52</f>
        <v>1280</v>
      </c>
      <c r="F89" s="80">
        <f t="shared" si="14"/>
        <v>1590</v>
      </c>
      <c r="G89" s="80">
        <f t="shared" si="14"/>
        <v>6190</v>
      </c>
      <c r="H89" s="80">
        <f t="shared" si="14"/>
        <v>0</v>
      </c>
      <c r="I89" s="80">
        <f t="shared" si="14"/>
        <v>-17830</v>
      </c>
      <c r="J89" s="80">
        <f t="shared" si="14"/>
        <v>3804</v>
      </c>
      <c r="K89" s="80">
        <f t="shared" si="14"/>
        <v>2500</v>
      </c>
      <c r="L89" s="80">
        <f t="shared" si="14"/>
        <v>2500</v>
      </c>
      <c r="M89" s="80">
        <f t="shared" si="14"/>
        <v>0</v>
      </c>
    </row>
    <row r="90" spans="1:13">
      <c r="A90" s="42" t="s">
        <v>43</v>
      </c>
      <c r="B90" s="44">
        <v>767</v>
      </c>
      <c r="C90" s="40">
        <f t="shared" si="9"/>
        <v>46879.1</v>
      </c>
      <c r="D90" s="40"/>
      <c r="E90" s="80">
        <f t="shared" ref="E90:M90" si="15">+E17-E53</f>
        <v>6011.09</v>
      </c>
      <c r="F90" s="80">
        <f t="shared" si="15"/>
        <v>20210.5</v>
      </c>
      <c r="G90" s="80">
        <f t="shared" si="15"/>
        <v>30410.470000000005</v>
      </c>
      <c r="H90" s="80">
        <f t="shared" si="15"/>
        <v>8059.25</v>
      </c>
      <c r="I90" s="80">
        <f t="shared" si="15"/>
        <v>-47614.98000000001</v>
      </c>
      <c r="J90" s="80">
        <f t="shared" si="15"/>
        <v>2262.96</v>
      </c>
      <c r="K90" s="80">
        <f t="shared" si="15"/>
        <v>2004.6800000000012</v>
      </c>
      <c r="L90" s="80">
        <f t="shared" si="15"/>
        <v>25535.130000000005</v>
      </c>
      <c r="M90" s="80">
        <f t="shared" si="15"/>
        <v>0</v>
      </c>
    </row>
    <row r="91" spans="1:13">
      <c r="A91" s="42" t="s">
        <v>44</v>
      </c>
      <c r="B91" s="44">
        <v>768</v>
      </c>
      <c r="C91" s="40">
        <f t="shared" si="9"/>
        <v>0</v>
      </c>
      <c r="D91" s="40"/>
      <c r="E91" s="80">
        <f t="shared" ref="E91:M91" si="16">+E18-E54</f>
        <v>0</v>
      </c>
      <c r="F91" s="80">
        <f t="shared" si="16"/>
        <v>0</v>
      </c>
      <c r="G91" s="80">
        <f t="shared" si="16"/>
        <v>0</v>
      </c>
      <c r="H91" s="80">
        <f t="shared" si="16"/>
        <v>0</v>
      </c>
      <c r="I91" s="80">
        <f t="shared" si="16"/>
        <v>0</v>
      </c>
      <c r="J91" s="80">
        <f t="shared" si="16"/>
        <v>0</v>
      </c>
      <c r="K91" s="80">
        <f t="shared" si="16"/>
        <v>0</v>
      </c>
      <c r="L91" s="80">
        <f t="shared" si="16"/>
        <v>0</v>
      </c>
      <c r="M91" s="80">
        <f t="shared" si="16"/>
        <v>0</v>
      </c>
    </row>
    <row r="92" spans="1:13">
      <c r="A92" s="42" t="s">
        <v>45</v>
      </c>
      <c r="B92" s="44">
        <v>772</v>
      </c>
      <c r="C92" s="40">
        <f t="shared" si="9"/>
        <v>367.18999999999505</v>
      </c>
      <c r="D92" s="40"/>
      <c r="E92" s="80">
        <f t="shared" ref="E92:M92" si="17">+E19-E55</f>
        <v>0</v>
      </c>
      <c r="F92" s="80">
        <f t="shared" si="17"/>
        <v>1942.0499999999993</v>
      </c>
      <c r="G92" s="80">
        <f t="shared" si="17"/>
        <v>0</v>
      </c>
      <c r="H92" s="80">
        <f t="shared" si="17"/>
        <v>2113.8099999999977</v>
      </c>
      <c r="I92" s="80">
        <f t="shared" si="17"/>
        <v>0</v>
      </c>
      <c r="J92" s="80">
        <f t="shared" si="17"/>
        <v>0</v>
      </c>
      <c r="K92" s="80">
        <f t="shared" si="17"/>
        <v>0</v>
      </c>
      <c r="L92" s="80">
        <f t="shared" si="17"/>
        <v>-3688.6700000000019</v>
      </c>
      <c r="M92" s="80">
        <f t="shared" si="17"/>
        <v>0</v>
      </c>
    </row>
    <row r="93" spans="1:13">
      <c r="A93" s="42" t="s">
        <v>46</v>
      </c>
      <c r="B93" s="44">
        <v>773</v>
      </c>
      <c r="C93" s="40">
        <f t="shared" si="9"/>
        <v>0</v>
      </c>
      <c r="D93" s="40"/>
      <c r="E93" s="80">
        <f t="shared" ref="E93:M93" si="18">+E20-E56</f>
        <v>0</v>
      </c>
      <c r="F93" s="80">
        <f t="shared" si="18"/>
        <v>0</v>
      </c>
      <c r="G93" s="80">
        <f t="shared" si="18"/>
        <v>0</v>
      </c>
      <c r="H93" s="80">
        <f t="shared" si="18"/>
        <v>0</v>
      </c>
      <c r="I93" s="80">
        <f t="shared" si="18"/>
        <v>0</v>
      </c>
      <c r="J93" s="80">
        <f t="shared" si="18"/>
        <v>0</v>
      </c>
      <c r="K93" s="80">
        <f t="shared" si="18"/>
        <v>0</v>
      </c>
      <c r="L93" s="80">
        <f t="shared" si="18"/>
        <v>0</v>
      </c>
      <c r="M93" s="80">
        <f t="shared" si="18"/>
        <v>0</v>
      </c>
    </row>
    <row r="94" spans="1:13">
      <c r="A94" s="42" t="s">
        <v>47</v>
      </c>
      <c r="B94" s="44">
        <v>775</v>
      </c>
      <c r="C94" s="40">
        <f t="shared" si="9"/>
        <v>-33700</v>
      </c>
      <c r="D94" s="40"/>
      <c r="E94" s="80">
        <f t="shared" ref="E94:M94" si="19">+E21-E57</f>
        <v>0</v>
      </c>
      <c r="F94" s="80">
        <f t="shared" si="19"/>
        <v>0</v>
      </c>
      <c r="G94" s="80">
        <f t="shared" si="19"/>
        <v>0</v>
      </c>
      <c r="H94" s="80">
        <f t="shared" si="19"/>
        <v>-15000</v>
      </c>
      <c r="I94" s="80">
        <f t="shared" si="19"/>
        <v>-18700</v>
      </c>
      <c r="J94" s="80">
        <f t="shared" si="19"/>
        <v>0</v>
      </c>
      <c r="K94" s="80">
        <f t="shared" si="19"/>
        <v>0</v>
      </c>
      <c r="L94" s="80">
        <f t="shared" si="19"/>
        <v>0</v>
      </c>
      <c r="M94" s="80">
        <f t="shared" si="19"/>
        <v>0</v>
      </c>
    </row>
    <row r="95" spans="1:13">
      <c r="A95" s="42" t="s">
        <v>48</v>
      </c>
      <c r="B95" s="44">
        <v>780</v>
      </c>
      <c r="C95" s="40">
        <f t="shared" si="9"/>
        <v>12000</v>
      </c>
      <c r="D95" s="40"/>
      <c r="E95" s="80">
        <f t="shared" ref="E95:M95" si="20">+E22-E58</f>
        <v>0</v>
      </c>
      <c r="F95" s="80">
        <f t="shared" si="20"/>
        <v>0</v>
      </c>
      <c r="G95" s="80">
        <f t="shared" si="20"/>
        <v>12000</v>
      </c>
      <c r="H95" s="80">
        <f t="shared" si="20"/>
        <v>0</v>
      </c>
      <c r="I95" s="80">
        <f t="shared" si="20"/>
        <v>0</v>
      </c>
      <c r="J95" s="80">
        <f t="shared" si="20"/>
        <v>0</v>
      </c>
      <c r="K95" s="80">
        <f t="shared" si="20"/>
        <v>0</v>
      </c>
      <c r="L95" s="80">
        <f t="shared" si="20"/>
        <v>0</v>
      </c>
      <c r="M95" s="80">
        <f t="shared" si="20"/>
        <v>0</v>
      </c>
    </row>
    <row r="96" spans="1:13">
      <c r="A96" s="42" t="s">
        <v>49</v>
      </c>
      <c r="B96" s="44">
        <v>781</v>
      </c>
      <c r="C96" s="40">
        <f t="shared" si="9"/>
        <v>-10800</v>
      </c>
      <c r="D96" s="40"/>
      <c r="E96" s="80">
        <f t="shared" ref="E96:M96" si="21">+E23-E59</f>
        <v>0</v>
      </c>
      <c r="F96" s="80">
        <f t="shared" si="21"/>
        <v>0</v>
      </c>
      <c r="G96" s="80">
        <f t="shared" si="21"/>
        <v>0</v>
      </c>
      <c r="H96" s="80">
        <f t="shared" si="21"/>
        <v>0</v>
      </c>
      <c r="I96" s="80">
        <f t="shared" si="21"/>
        <v>-10800</v>
      </c>
      <c r="J96" s="80">
        <f t="shared" si="21"/>
        <v>0</v>
      </c>
      <c r="K96" s="80">
        <f t="shared" si="21"/>
        <v>0</v>
      </c>
      <c r="L96" s="80">
        <f t="shared" si="21"/>
        <v>0</v>
      </c>
      <c r="M96" s="80">
        <f t="shared" si="21"/>
        <v>0</v>
      </c>
    </row>
    <row r="97" spans="1:13">
      <c r="A97" s="42" t="s">
        <v>50</v>
      </c>
      <c r="B97" s="44">
        <v>782</v>
      </c>
      <c r="C97" s="40">
        <f t="shared" si="9"/>
        <v>202210</v>
      </c>
      <c r="D97" s="40"/>
      <c r="E97" s="80">
        <f t="shared" ref="E97:M97" si="22">+E24-E60</f>
        <v>24000</v>
      </c>
      <c r="F97" s="80">
        <f t="shared" si="22"/>
        <v>20000</v>
      </c>
      <c r="G97" s="80">
        <f t="shared" si="22"/>
        <v>13810</v>
      </c>
      <c r="H97" s="80">
        <f t="shared" si="22"/>
        <v>0</v>
      </c>
      <c r="I97" s="80">
        <f t="shared" si="22"/>
        <v>65000</v>
      </c>
      <c r="J97" s="80">
        <f t="shared" si="22"/>
        <v>26400</v>
      </c>
      <c r="K97" s="80">
        <f t="shared" si="22"/>
        <v>3000</v>
      </c>
      <c r="L97" s="80">
        <f t="shared" si="22"/>
        <v>50000</v>
      </c>
      <c r="M97" s="80">
        <f t="shared" si="22"/>
        <v>0</v>
      </c>
    </row>
    <row r="98" spans="1:13">
      <c r="A98" s="42" t="s">
        <v>51</v>
      </c>
      <c r="B98" s="44">
        <v>784</v>
      </c>
      <c r="C98" s="40">
        <f t="shared" si="9"/>
        <v>0</v>
      </c>
      <c r="D98" s="40"/>
      <c r="E98" s="80">
        <f t="shared" ref="E98:M98" si="23">+E25-E61</f>
        <v>0</v>
      </c>
      <c r="F98" s="80">
        <f t="shared" si="23"/>
        <v>0</v>
      </c>
      <c r="G98" s="80">
        <f t="shared" si="23"/>
        <v>0</v>
      </c>
      <c r="H98" s="80">
        <f t="shared" si="23"/>
        <v>0</v>
      </c>
      <c r="I98" s="80">
        <f t="shared" si="23"/>
        <v>0</v>
      </c>
      <c r="J98" s="80">
        <f t="shared" si="23"/>
        <v>0</v>
      </c>
      <c r="K98" s="80">
        <f t="shared" si="23"/>
        <v>0</v>
      </c>
      <c r="L98" s="80">
        <f t="shared" si="23"/>
        <v>0</v>
      </c>
      <c r="M98" s="80">
        <f t="shared" si="23"/>
        <v>0</v>
      </c>
    </row>
    <row r="99" spans="1:13">
      <c r="A99" s="42" t="s">
        <v>52</v>
      </c>
      <c r="B99" s="44">
        <v>815</v>
      </c>
      <c r="C99" s="40">
        <f t="shared" si="9"/>
        <v>-215836.25</v>
      </c>
      <c r="D99" s="40"/>
      <c r="E99" s="80">
        <f t="shared" ref="E99:M99" si="24">+E26-E62</f>
        <v>0</v>
      </c>
      <c r="F99" s="80">
        <f t="shared" si="24"/>
        <v>0</v>
      </c>
      <c r="G99" s="80">
        <f t="shared" si="24"/>
        <v>28000</v>
      </c>
      <c r="H99" s="80">
        <f t="shared" si="24"/>
        <v>-207449</v>
      </c>
      <c r="I99" s="80">
        <f t="shared" si="24"/>
        <v>-136387.25</v>
      </c>
      <c r="J99" s="80">
        <f t="shared" si="24"/>
        <v>100000</v>
      </c>
      <c r="K99" s="80">
        <f t="shared" si="24"/>
        <v>0</v>
      </c>
      <c r="L99" s="80">
        <f t="shared" si="24"/>
        <v>0</v>
      </c>
      <c r="M99" s="80">
        <f t="shared" si="24"/>
        <v>0</v>
      </c>
    </row>
    <row r="100" spans="1:13">
      <c r="A100" s="42" t="s">
        <v>53</v>
      </c>
      <c r="B100" s="44">
        <v>826</v>
      </c>
      <c r="C100" s="40">
        <f t="shared" si="9"/>
        <v>-18350</v>
      </c>
      <c r="D100" s="40"/>
      <c r="E100" s="80">
        <f t="shared" ref="E100:M100" si="25">+E27-E63</f>
        <v>0</v>
      </c>
      <c r="F100" s="80">
        <f t="shared" si="25"/>
        <v>0</v>
      </c>
      <c r="G100" s="80">
        <f t="shared" si="25"/>
        <v>0</v>
      </c>
      <c r="H100" s="80">
        <f t="shared" si="25"/>
        <v>-18350</v>
      </c>
      <c r="I100" s="80">
        <f t="shared" si="25"/>
        <v>0</v>
      </c>
      <c r="J100" s="80">
        <f t="shared" si="25"/>
        <v>0</v>
      </c>
      <c r="K100" s="80">
        <f t="shared" si="25"/>
        <v>0</v>
      </c>
      <c r="L100" s="80">
        <f t="shared" si="25"/>
        <v>0</v>
      </c>
      <c r="M100" s="80">
        <f t="shared" si="25"/>
        <v>0</v>
      </c>
    </row>
    <row r="101" spans="1:13">
      <c r="A101" s="42" t="s">
        <v>62</v>
      </c>
      <c r="B101" s="44">
        <v>841</v>
      </c>
      <c r="C101" s="40">
        <f t="shared" si="9"/>
        <v>0</v>
      </c>
      <c r="D101" s="40"/>
      <c r="E101" s="80">
        <f t="shared" ref="E101:M101" si="26">+E28-E64</f>
        <v>0</v>
      </c>
      <c r="F101" s="80">
        <f t="shared" si="26"/>
        <v>0</v>
      </c>
      <c r="G101" s="80">
        <f t="shared" si="26"/>
        <v>0</v>
      </c>
      <c r="H101" s="80">
        <f t="shared" si="26"/>
        <v>0</v>
      </c>
      <c r="I101" s="80">
        <f t="shared" si="26"/>
        <v>0</v>
      </c>
      <c r="J101" s="80">
        <f t="shared" si="26"/>
        <v>0</v>
      </c>
      <c r="K101" s="80">
        <f t="shared" si="26"/>
        <v>0</v>
      </c>
      <c r="L101" s="80">
        <f t="shared" si="26"/>
        <v>0</v>
      </c>
      <c r="M101" s="80">
        <f t="shared" si="26"/>
        <v>0</v>
      </c>
    </row>
    <row r="102" spans="1:13" ht="14.25" customHeight="1">
      <c r="A102" s="42" t="s">
        <v>54</v>
      </c>
      <c r="B102" s="44">
        <v>892</v>
      </c>
      <c r="C102" s="40">
        <f t="shared" si="9"/>
        <v>-450</v>
      </c>
      <c r="D102" s="40"/>
      <c r="E102" s="80">
        <f t="shared" ref="E102:M102" si="27">+E29-E65</f>
        <v>0</v>
      </c>
      <c r="F102" s="80">
        <f t="shared" si="27"/>
        <v>0</v>
      </c>
      <c r="G102" s="80">
        <f t="shared" si="27"/>
        <v>0</v>
      </c>
      <c r="H102" s="80">
        <f t="shared" si="27"/>
        <v>0</v>
      </c>
      <c r="I102" s="80">
        <f t="shared" si="27"/>
        <v>-450</v>
      </c>
      <c r="J102" s="80">
        <f t="shared" si="27"/>
        <v>0</v>
      </c>
      <c r="K102" s="80">
        <f t="shared" si="27"/>
        <v>0</v>
      </c>
      <c r="L102" s="80">
        <f t="shared" si="27"/>
        <v>0</v>
      </c>
      <c r="M102" s="80">
        <f t="shared" si="27"/>
        <v>0</v>
      </c>
    </row>
    <row r="103" spans="1:13">
      <c r="A103" s="42" t="s">
        <v>55</v>
      </c>
      <c r="B103" s="44">
        <v>969</v>
      </c>
      <c r="C103" s="40">
        <f>SUM(E103:M103)</f>
        <v>204969.90000000002</v>
      </c>
      <c r="D103" s="40"/>
      <c r="E103" s="80">
        <f t="shared" ref="E103:M103" si="28">+E30-E66</f>
        <v>-141933.62</v>
      </c>
      <c r="F103" s="80">
        <f t="shared" si="28"/>
        <v>30000</v>
      </c>
      <c r="G103" s="80">
        <f t="shared" si="28"/>
        <v>179864.38</v>
      </c>
      <c r="H103" s="80">
        <f t="shared" si="28"/>
        <v>191084.38</v>
      </c>
      <c r="I103" s="80">
        <f t="shared" si="28"/>
        <v>34284.379999999997</v>
      </c>
      <c r="J103" s="80">
        <f t="shared" si="28"/>
        <v>-20578.129999999997</v>
      </c>
      <c r="K103" s="80">
        <f t="shared" si="28"/>
        <v>-56615.63</v>
      </c>
      <c r="L103" s="80">
        <f t="shared" si="28"/>
        <v>39884.370000000003</v>
      </c>
      <c r="M103" s="80">
        <f t="shared" si="28"/>
        <v>-51020.229999999996</v>
      </c>
    </row>
    <row r="104" spans="1:13" ht="3.75" customHeight="1">
      <c r="A104" s="42"/>
      <c r="B104" s="43"/>
      <c r="C104" s="43"/>
      <c r="D104" s="43"/>
      <c r="E104" s="50"/>
      <c r="F104" s="50"/>
      <c r="G104" s="50"/>
      <c r="H104" s="50"/>
      <c r="I104" s="50"/>
      <c r="J104" s="50"/>
      <c r="K104" s="50"/>
      <c r="L104" s="50"/>
      <c r="M104" s="52"/>
    </row>
    <row r="105" spans="1:13" ht="15.75" thickBot="1">
      <c r="A105" s="45" t="s">
        <v>4</v>
      </c>
      <c r="B105" s="46"/>
      <c r="C105" s="47">
        <f>SUM(C81:C104)</f>
        <v>5267135.620000002</v>
      </c>
      <c r="D105" s="47"/>
      <c r="E105" s="48">
        <f>SUM(E81:E104)</f>
        <v>-1144975.74</v>
      </c>
      <c r="F105" s="48">
        <f t="shared" ref="F105:M105" si="29">SUM(F81:F104)</f>
        <v>612025.94000000006</v>
      </c>
      <c r="G105" s="48">
        <f t="shared" si="29"/>
        <v>4830473.7399999993</v>
      </c>
      <c r="H105" s="48">
        <f t="shared" si="29"/>
        <v>-39900.109999999986</v>
      </c>
      <c r="I105" s="48">
        <f t="shared" si="29"/>
        <v>-217762.12</v>
      </c>
      <c r="J105" s="48">
        <f t="shared" si="29"/>
        <v>5989.8100000000049</v>
      </c>
      <c r="K105" s="48">
        <f t="shared" si="29"/>
        <v>-13413.35000000002</v>
      </c>
      <c r="L105" s="48">
        <f t="shared" si="29"/>
        <v>1303385.6100000013</v>
      </c>
      <c r="M105" s="48">
        <f t="shared" si="29"/>
        <v>-68688.159999999989</v>
      </c>
    </row>
    <row r="106" spans="1:13">
      <c r="C106" s="69"/>
    </row>
    <row r="107" spans="1:13">
      <c r="C107" s="151"/>
    </row>
  </sheetData>
  <mergeCells count="10">
    <mergeCell ref="A77:N77"/>
    <mergeCell ref="A75:M75"/>
    <mergeCell ref="A76:M76"/>
    <mergeCell ref="A1:M1"/>
    <mergeCell ref="A2:M2"/>
    <mergeCell ref="A3:M3"/>
    <mergeCell ref="A38:M38"/>
    <mergeCell ref="A39:M39"/>
    <mergeCell ref="A4:N4"/>
    <mergeCell ref="A40:N40"/>
  </mergeCells>
  <pageMargins left="0" right="0.17" top="0.5" bottom="0.66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topLeftCell="A40" workbookViewId="0">
      <selection activeCell="T71" sqref="T71"/>
    </sheetView>
  </sheetViews>
  <sheetFormatPr defaultRowHeight="15"/>
  <cols>
    <col min="1" max="1" width="30.7109375" customWidth="1"/>
    <col min="2" max="2" width="7" customWidth="1"/>
    <col min="3" max="3" width="13.7109375" customWidth="1"/>
    <col min="4" max="4" width="0.42578125" customWidth="1"/>
    <col min="5" max="5" width="10.7109375" customWidth="1"/>
    <col min="6" max="7" width="10.28515625" customWidth="1"/>
    <col min="8" max="9" width="11" customWidth="1"/>
    <col min="10" max="10" width="11.140625" customWidth="1"/>
    <col min="11" max="11" width="11.5703125" customWidth="1"/>
    <col min="12" max="12" width="11.85546875" customWidth="1"/>
    <col min="13" max="13" width="12.140625" customWidth="1"/>
    <col min="14" max="14" width="0.28515625" customWidth="1"/>
    <col min="15" max="15" width="9.140625" hidden="1" customWidth="1"/>
  </cols>
  <sheetData>
    <row r="1" spans="1:14" ht="15.75">
      <c r="A1" s="242" t="s">
        <v>11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</row>
    <row r="2" spans="1:14" ht="15.75">
      <c r="A2" s="242" t="s">
        <v>63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</row>
    <row r="3" spans="1:14" ht="15.75">
      <c r="A3" s="247" t="s">
        <v>3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</row>
    <row r="4" spans="1:14" ht="19.5" thickBot="1">
      <c r="A4" s="241" t="s">
        <v>99</v>
      </c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241"/>
      <c r="N4" s="241"/>
    </row>
    <row r="5" spans="1:14">
      <c r="A5" s="161" t="s">
        <v>1</v>
      </c>
      <c r="B5" s="170" t="s">
        <v>2</v>
      </c>
      <c r="C5" s="162" t="s">
        <v>4</v>
      </c>
      <c r="D5" s="162"/>
      <c r="E5" s="177" t="s">
        <v>12</v>
      </c>
      <c r="F5" s="108" t="s">
        <v>17</v>
      </c>
      <c r="G5" s="177" t="s">
        <v>82</v>
      </c>
      <c r="H5" s="108" t="s">
        <v>56</v>
      </c>
      <c r="I5" s="177" t="s">
        <v>13</v>
      </c>
      <c r="J5" s="108" t="s">
        <v>14</v>
      </c>
      <c r="K5" s="177" t="s">
        <v>16</v>
      </c>
      <c r="L5" s="177" t="s">
        <v>67</v>
      </c>
      <c r="M5" s="185" t="s">
        <v>73</v>
      </c>
    </row>
    <row r="6" spans="1:14" ht="15.75" thickBot="1">
      <c r="A6" s="164"/>
      <c r="B6" s="171"/>
      <c r="C6" s="166"/>
      <c r="D6" s="165"/>
      <c r="E6" s="179"/>
      <c r="F6" s="178"/>
      <c r="G6" s="131" t="s">
        <v>86</v>
      </c>
      <c r="H6" s="186" t="s">
        <v>57</v>
      </c>
      <c r="I6" s="179"/>
      <c r="J6" s="186" t="s">
        <v>15</v>
      </c>
      <c r="K6" s="179"/>
      <c r="L6" s="179"/>
      <c r="M6" s="187" t="s">
        <v>74</v>
      </c>
    </row>
    <row r="7" spans="1:14">
      <c r="A7" s="38" t="s">
        <v>64</v>
      </c>
      <c r="B7" s="39">
        <v>223</v>
      </c>
      <c r="C7" s="41">
        <f>SUM(E7:M7)</f>
        <v>100000</v>
      </c>
      <c r="D7" s="41"/>
      <c r="E7" s="80"/>
      <c r="F7" s="80"/>
      <c r="G7" s="80"/>
      <c r="H7" s="80"/>
      <c r="I7" s="80"/>
      <c r="J7" s="80">
        <v>50000</v>
      </c>
      <c r="K7" s="80"/>
      <c r="L7" s="80">
        <v>50000</v>
      </c>
      <c r="M7" s="183"/>
    </row>
    <row r="8" spans="1:14">
      <c r="A8" s="42" t="s">
        <v>65</v>
      </c>
      <c r="B8" s="44">
        <v>222</v>
      </c>
      <c r="C8" s="40">
        <f>SUM(E8:M8)</f>
        <v>0</v>
      </c>
      <c r="D8" s="40"/>
      <c r="E8" s="50"/>
      <c r="F8" s="50"/>
      <c r="G8" s="50"/>
      <c r="H8" s="50"/>
      <c r="I8" s="50"/>
      <c r="J8" s="50"/>
      <c r="K8" s="50"/>
      <c r="L8" s="50"/>
      <c r="M8" s="152"/>
    </row>
    <row r="9" spans="1:14">
      <c r="A9" s="42" t="s">
        <v>66</v>
      </c>
      <c r="B9" s="44">
        <v>226</v>
      </c>
      <c r="C9" s="40">
        <f t="shared" ref="C9" si="0">SUM(E9:L9)</f>
        <v>100000</v>
      </c>
      <c r="D9" s="40"/>
      <c r="E9" s="50"/>
      <c r="F9" s="50"/>
      <c r="G9" s="50"/>
      <c r="H9" s="50"/>
      <c r="I9" s="50"/>
      <c r="J9" s="50"/>
      <c r="K9" s="50"/>
      <c r="L9" s="50">
        <v>100000</v>
      </c>
      <c r="M9" s="152"/>
    </row>
    <row r="10" spans="1:14">
      <c r="A10" s="42"/>
      <c r="B10" s="44"/>
      <c r="C10" s="40"/>
      <c r="D10" s="40"/>
      <c r="E10" s="50"/>
      <c r="F10" s="50"/>
      <c r="G10" s="50"/>
      <c r="H10" s="50"/>
      <c r="I10" s="50"/>
      <c r="J10" s="50"/>
      <c r="K10" s="50"/>
      <c r="L10" s="50"/>
      <c r="M10" s="152"/>
    </row>
    <row r="11" spans="1:14">
      <c r="A11" s="42"/>
      <c r="B11" s="44"/>
      <c r="C11" s="40"/>
      <c r="D11" s="40"/>
      <c r="E11" s="50"/>
      <c r="F11" s="50"/>
      <c r="G11" s="50"/>
      <c r="H11" s="50"/>
      <c r="I11" s="50"/>
      <c r="J11" s="50"/>
      <c r="K11" s="50"/>
      <c r="L11" s="50"/>
      <c r="M11" s="152"/>
    </row>
    <row r="12" spans="1:14">
      <c r="A12" s="42"/>
      <c r="B12" s="44"/>
      <c r="C12" s="40"/>
      <c r="D12" s="40"/>
      <c r="E12" s="50"/>
      <c r="F12" s="50"/>
      <c r="G12" s="50"/>
      <c r="H12" s="50"/>
      <c r="I12" s="50"/>
      <c r="J12" s="50"/>
      <c r="K12" s="50"/>
      <c r="L12" s="50"/>
      <c r="M12" s="152"/>
    </row>
    <row r="13" spans="1:14">
      <c r="A13" s="42"/>
      <c r="B13" s="44"/>
      <c r="C13" s="40"/>
      <c r="D13" s="40"/>
      <c r="E13" s="50"/>
      <c r="F13" s="50"/>
      <c r="G13" s="50"/>
      <c r="H13" s="50"/>
      <c r="I13" s="50"/>
      <c r="J13" s="50"/>
      <c r="K13" s="50"/>
      <c r="L13" s="50"/>
      <c r="M13" s="152"/>
    </row>
    <row r="14" spans="1:14">
      <c r="A14" s="42"/>
      <c r="B14" s="44"/>
      <c r="C14" s="40"/>
      <c r="D14" s="40"/>
      <c r="E14" s="50"/>
      <c r="F14" s="50"/>
      <c r="G14" s="50"/>
      <c r="H14" s="50"/>
      <c r="I14" s="50"/>
      <c r="J14" s="50"/>
      <c r="K14" s="50"/>
      <c r="L14" s="50"/>
      <c r="M14" s="152"/>
    </row>
    <row r="15" spans="1:14">
      <c r="A15" s="42"/>
      <c r="B15" s="44"/>
      <c r="C15" s="40"/>
      <c r="D15" s="40"/>
      <c r="E15" s="50"/>
      <c r="F15" s="50"/>
      <c r="G15" s="50"/>
      <c r="H15" s="50"/>
      <c r="I15" s="50"/>
      <c r="J15" s="50"/>
      <c r="K15" s="50"/>
      <c r="L15" s="50"/>
      <c r="M15" s="152"/>
    </row>
    <row r="16" spans="1:14">
      <c r="A16" s="42"/>
      <c r="B16" s="44"/>
      <c r="C16" s="40"/>
      <c r="D16" s="40"/>
      <c r="E16" s="50"/>
      <c r="F16" s="50"/>
      <c r="G16" s="50"/>
      <c r="H16" s="50"/>
      <c r="I16" s="50"/>
      <c r="J16" s="50"/>
      <c r="K16" s="50"/>
      <c r="L16" s="50"/>
      <c r="M16" s="152"/>
    </row>
    <row r="17" spans="1:13">
      <c r="A17" s="42"/>
      <c r="B17" s="44"/>
      <c r="C17" s="40"/>
      <c r="D17" s="40"/>
      <c r="E17" s="50"/>
      <c r="F17" s="50"/>
      <c r="G17" s="50"/>
      <c r="H17" s="50"/>
      <c r="I17" s="50"/>
      <c r="J17" s="50"/>
      <c r="K17" s="50"/>
      <c r="L17" s="50"/>
      <c r="M17" s="152"/>
    </row>
    <row r="18" spans="1:13">
      <c r="A18" s="42"/>
      <c r="B18" s="44"/>
      <c r="C18" s="40"/>
      <c r="D18" s="40"/>
      <c r="E18" s="50"/>
      <c r="F18" s="50"/>
      <c r="G18" s="50"/>
      <c r="H18" s="50"/>
      <c r="I18" s="50"/>
      <c r="J18" s="50"/>
      <c r="K18" s="50"/>
      <c r="L18" s="50"/>
      <c r="M18" s="152"/>
    </row>
    <row r="19" spans="1:13">
      <c r="A19" s="42"/>
      <c r="B19" s="44"/>
      <c r="C19" s="40"/>
      <c r="D19" s="40"/>
      <c r="E19" s="50"/>
      <c r="F19" s="50"/>
      <c r="G19" s="50"/>
      <c r="H19" s="50"/>
      <c r="I19" s="50"/>
      <c r="J19" s="50"/>
      <c r="K19" s="50"/>
      <c r="L19" s="50"/>
      <c r="M19" s="152"/>
    </row>
    <row r="20" spans="1:13">
      <c r="A20" s="42"/>
      <c r="B20" s="44"/>
      <c r="C20" s="40"/>
      <c r="D20" s="40"/>
      <c r="E20" s="50"/>
      <c r="F20" s="50"/>
      <c r="G20" s="50"/>
      <c r="H20" s="50"/>
      <c r="I20" s="50"/>
      <c r="J20" s="50"/>
      <c r="K20" s="50"/>
      <c r="L20" s="50"/>
      <c r="M20" s="152"/>
    </row>
    <row r="21" spans="1:13">
      <c r="A21" s="42"/>
      <c r="B21" s="44"/>
      <c r="C21" s="40"/>
      <c r="D21" s="40"/>
      <c r="E21" s="50"/>
      <c r="F21" s="50"/>
      <c r="G21" s="50"/>
      <c r="H21" s="50"/>
      <c r="I21" s="50"/>
      <c r="J21" s="50"/>
      <c r="K21" s="50"/>
      <c r="L21" s="50"/>
      <c r="M21" s="152"/>
    </row>
    <row r="22" spans="1:13">
      <c r="A22" s="42"/>
      <c r="B22" s="44"/>
      <c r="C22" s="40"/>
      <c r="D22" s="40"/>
      <c r="E22" s="50"/>
      <c r="F22" s="50"/>
      <c r="G22" s="50"/>
      <c r="H22" s="50"/>
      <c r="I22" s="50"/>
      <c r="J22" s="50"/>
      <c r="K22" s="50"/>
      <c r="L22" s="50"/>
      <c r="M22" s="152"/>
    </row>
    <row r="23" spans="1:13">
      <c r="A23" s="42"/>
      <c r="B23" s="44"/>
      <c r="C23" s="40"/>
      <c r="D23" s="40"/>
      <c r="E23" s="50"/>
      <c r="F23" s="50"/>
      <c r="G23" s="50"/>
      <c r="H23" s="50"/>
      <c r="I23" s="50"/>
      <c r="J23" s="50"/>
      <c r="K23" s="50"/>
      <c r="L23" s="50"/>
      <c r="M23" s="152"/>
    </row>
    <row r="24" spans="1:13">
      <c r="A24" s="42"/>
      <c r="B24" s="44"/>
      <c r="C24" s="40"/>
      <c r="D24" s="40"/>
      <c r="E24" s="50"/>
      <c r="F24" s="50"/>
      <c r="G24" s="50"/>
      <c r="H24" s="50"/>
      <c r="I24" s="50"/>
      <c r="J24" s="50"/>
      <c r="K24" s="50"/>
      <c r="L24" s="50"/>
      <c r="M24" s="152"/>
    </row>
    <row r="25" spans="1:13">
      <c r="A25" s="42"/>
      <c r="B25" s="44"/>
      <c r="C25" s="40"/>
      <c r="D25" s="40"/>
      <c r="E25" s="50"/>
      <c r="F25" s="50"/>
      <c r="G25" s="50"/>
      <c r="H25" s="50"/>
      <c r="I25" s="50"/>
      <c r="J25" s="50"/>
      <c r="K25" s="50"/>
      <c r="L25" s="50"/>
      <c r="M25" s="152"/>
    </row>
    <row r="26" spans="1:13">
      <c r="A26" s="42"/>
      <c r="B26" s="44"/>
      <c r="C26" s="40"/>
      <c r="D26" s="40"/>
      <c r="E26" s="50"/>
      <c r="F26" s="50"/>
      <c r="G26" s="50"/>
      <c r="H26" s="50"/>
      <c r="I26" s="50"/>
      <c r="J26" s="50"/>
      <c r="K26" s="50"/>
      <c r="L26" s="50"/>
      <c r="M26" s="152"/>
    </row>
    <row r="27" spans="1:13" ht="15.75" thickBot="1">
      <c r="A27" s="45"/>
      <c r="B27" s="46"/>
      <c r="C27" s="46"/>
      <c r="D27" s="46"/>
      <c r="E27" s="48"/>
      <c r="F27" s="48"/>
      <c r="G27" s="48"/>
      <c r="H27" s="48"/>
      <c r="I27" s="48"/>
      <c r="J27" s="48"/>
      <c r="K27" s="48"/>
      <c r="L27" s="48"/>
      <c r="M27" s="153"/>
    </row>
    <row r="28" spans="1:13" ht="23.25" customHeight="1" thickBot="1">
      <c r="A28" s="55" t="s">
        <v>4</v>
      </c>
      <c r="B28" s="56"/>
      <c r="C28" s="157">
        <f>SUM(C7:C27)</f>
        <v>200000</v>
      </c>
      <c r="D28" s="157"/>
      <c r="E28" s="158">
        <f t="shared" ref="E28:L28" si="1">SUM(E7:E26)</f>
        <v>0</v>
      </c>
      <c r="F28" s="158"/>
      <c r="G28" s="158"/>
      <c r="H28" s="158">
        <f t="shared" si="1"/>
        <v>0</v>
      </c>
      <c r="I28" s="158">
        <f t="shared" si="1"/>
        <v>0</v>
      </c>
      <c r="J28" s="158">
        <f t="shared" si="1"/>
        <v>50000</v>
      </c>
      <c r="K28" s="158">
        <f t="shared" si="1"/>
        <v>0</v>
      </c>
      <c r="L28" s="159">
        <f t="shared" si="1"/>
        <v>150000</v>
      </c>
      <c r="M28" s="159">
        <f t="shared" ref="M28" si="2">SUM(M7:M26)</f>
        <v>0</v>
      </c>
    </row>
    <row r="29" spans="1:13">
      <c r="A29" s="32"/>
      <c r="B29" s="32"/>
      <c r="C29" s="33"/>
      <c r="D29" s="32"/>
      <c r="E29" s="32"/>
      <c r="F29" s="32"/>
      <c r="G29" s="32"/>
      <c r="H29" s="32"/>
      <c r="I29" s="32"/>
      <c r="J29" s="32"/>
      <c r="K29" s="32"/>
      <c r="L29" s="32"/>
    </row>
    <row r="30" spans="1:13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</row>
    <row r="31" spans="1:13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</row>
    <row r="32" spans="1:13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</row>
    <row r="33" spans="1:14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</row>
    <row r="34" spans="1:14" ht="15.75">
      <c r="A34" s="249" t="s">
        <v>5</v>
      </c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</row>
    <row r="35" spans="1:14" ht="15.75">
      <c r="A35" s="249" t="s">
        <v>11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</row>
    <row r="36" spans="1:14" ht="19.5" thickBot="1">
      <c r="A36" s="241" t="s">
        <v>99</v>
      </c>
      <c r="B36" s="241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</row>
    <row r="37" spans="1:14">
      <c r="A37" s="161" t="s">
        <v>1</v>
      </c>
      <c r="B37" s="170" t="s">
        <v>2</v>
      </c>
      <c r="C37" s="162" t="s">
        <v>4</v>
      </c>
      <c r="D37" s="162"/>
      <c r="E37" s="175" t="s">
        <v>12</v>
      </c>
      <c r="F37" s="136" t="s">
        <v>17</v>
      </c>
      <c r="G37" s="132" t="s">
        <v>82</v>
      </c>
      <c r="H37" s="136" t="s">
        <v>56</v>
      </c>
      <c r="I37" s="132" t="s">
        <v>13</v>
      </c>
      <c r="J37" s="136" t="s">
        <v>14</v>
      </c>
      <c r="K37" s="132" t="s">
        <v>16</v>
      </c>
      <c r="L37" s="132" t="s">
        <v>67</v>
      </c>
      <c r="M37" s="163" t="s">
        <v>73</v>
      </c>
    </row>
    <row r="38" spans="1:14" ht="15.75" thickBot="1">
      <c r="A38" s="164"/>
      <c r="B38" s="171"/>
      <c r="C38" s="166"/>
      <c r="D38" s="165"/>
      <c r="E38" s="173"/>
      <c r="F38" s="167"/>
      <c r="G38" s="173" t="s">
        <v>86</v>
      </c>
      <c r="H38" s="168" t="s">
        <v>57</v>
      </c>
      <c r="I38" s="173"/>
      <c r="J38" s="168" t="s">
        <v>15</v>
      </c>
      <c r="K38" s="173"/>
      <c r="L38" s="173"/>
      <c r="M38" s="169" t="s">
        <v>74</v>
      </c>
    </row>
    <row r="39" spans="1:14">
      <c r="A39" s="18"/>
      <c r="B39" s="19"/>
      <c r="C39" s="19"/>
      <c r="D39" s="19"/>
      <c r="E39" s="30"/>
      <c r="F39" s="30"/>
      <c r="G39" s="30"/>
      <c r="H39" s="30"/>
      <c r="I39" s="30"/>
      <c r="J39" s="30"/>
      <c r="K39" s="30"/>
      <c r="L39" s="30"/>
      <c r="M39" s="30"/>
    </row>
    <row r="40" spans="1:14">
      <c r="A40" s="42" t="s">
        <v>64</v>
      </c>
      <c r="B40" s="44">
        <v>223</v>
      </c>
      <c r="C40" s="40">
        <f>SUM(E40:L40)</f>
        <v>102150</v>
      </c>
      <c r="D40" s="40"/>
      <c r="E40" s="50"/>
      <c r="F40" s="50"/>
      <c r="G40" s="50"/>
      <c r="H40" s="50">
        <v>39900</v>
      </c>
      <c r="I40" s="50"/>
      <c r="J40" s="50">
        <v>62250</v>
      </c>
      <c r="K40" s="50"/>
      <c r="L40" s="50"/>
      <c r="M40" s="50"/>
    </row>
    <row r="41" spans="1:14">
      <c r="A41" s="42" t="s">
        <v>65</v>
      </c>
      <c r="B41" s="44">
        <v>222</v>
      </c>
      <c r="C41" s="40">
        <f t="shared" ref="C41:C42" si="3">SUM(E41:L41)</f>
        <v>0</v>
      </c>
      <c r="D41" s="40"/>
      <c r="E41" s="50"/>
      <c r="F41" s="50"/>
      <c r="G41" s="50"/>
      <c r="H41" s="50"/>
      <c r="I41" s="50"/>
      <c r="J41" s="50"/>
      <c r="K41" s="50"/>
      <c r="L41" s="50"/>
      <c r="M41" s="50"/>
    </row>
    <row r="42" spans="1:14">
      <c r="A42" s="42" t="s">
        <v>66</v>
      </c>
      <c r="B42" s="44">
        <v>226</v>
      </c>
      <c r="C42" s="40">
        <f t="shared" si="3"/>
        <v>14840.42</v>
      </c>
      <c r="D42" s="40"/>
      <c r="E42" s="50"/>
      <c r="F42" s="50"/>
      <c r="G42" s="50"/>
      <c r="H42" s="50"/>
      <c r="I42" s="50">
        <v>14840.42</v>
      </c>
      <c r="J42" s="50"/>
      <c r="K42" s="50"/>
      <c r="L42" s="50"/>
      <c r="M42" s="50"/>
    </row>
    <row r="43" spans="1:14">
      <c r="A43" s="42"/>
      <c r="B43" s="44"/>
      <c r="C43" s="40"/>
      <c r="D43" s="40"/>
      <c r="E43" s="50"/>
      <c r="F43" s="50"/>
      <c r="G43" s="50"/>
      <c r="H43" s="50"/>
      <c r="I43" s="50"/>
      <c r="J43" s="50"/>
      <c r="K43" s="50"/>
      <c r="L43" s="50"/>
      <c r="M43" s="50"/>
    </row>
    <row r="44" spans="1:14">
      <c r="A44" s="42"/>
      <c r="B44" s="44"/>
      <c r="C44" s="40"/>
      <c r="D44" s="40"/>
      <c r="E44" s="50"/>
      <c r="F44" s="50"/>
      <c r="G44" s="50"/>
      <c r="H44" s="50"/>
      <c r="I44" s="50"/>
      <c r="J44" s="50"/>
      <c r="K44" s="50"/>
      <c r="L44" s="50"/>
      <c r="M44" s="50"/>
    </row>
    <row r="45" spans="1:14">
      <c r="A45" s="42"/>
      <c r="B45" s="44"/>
      <c r="C45" s="40"/>
      <c r="D45" s="40"/>
      <c r="E45" s="50"/>
      <c r="F45" s="50"/>
      <c r="G45" s="50"/>
      <c r="H45" s="50"/>
      <c r="I45" s="50"/>
      <c r="J45" s="50"/>
      <c r="K45" s="50"/>
      <c r="L45" s="50"/>
      <c r="M45" s="50"/>
    </row>
    <row r="46" spans="1:14">
      <c r="A46" s="42"/>
      <c r="B46" s="44"/>
      <c r="C46" s="40"/>
      <c r="D46" s="40"/>
      <c r="E46" s="50"/>
      <c r="F46" s="50"/>
      <c r="G46" s="50"/>
      <c r="H46" s="50"/>
      <c r="I46" s="50"/>
      <c r="J46" s="50"/>
      <c r="K46" s="50"/>
      <c r="L46" s="50"/>
      <c r="M46" s="50"/>
    </row>
    <row r="47" spans="1:14">
      <c r="A47" s="42"/>
      <c r="B47" s="44"/>
      <c r="C47" s="40"/>
      <c r="D47" s="40"/>
      <c r="E47" s="50"/>
      <c r="F47" s="50"/>
      <c r="G47" s="50"/>
      <c r="H47" s="50"/>
      <c r="I47" s="50"/>
      <c r="J47" s="50"/>
      <c r="K47" s="50"/>
      <c r="L47" s="50"/>
      <c r="M47" s="50"/>
    </row>
    <row r="48" spans="1:14">
      <c r="A48" s="42"/>
      <c r="B48" s="44"/>
      <c r="C48" s="40"/>
      <c r="D48" s="40"/>
      <c r="E48" s="50"/>
      <c r="F48" s="50"/>
      <c r="G48" s="50"/>
      <c r="H48" s="50"/>
      <c r="I48" s="50"/>
      <c r="J48" s="50"/>
      <c r="K48" s="50"/>
      <c r="L48" s="50"/>
      <c r="M48" s="50"/>
    </row>
    <row r="49" spans="1:13">
      <c r="A49" s="42"/>
      <c r="B49" s="44"/>
      <c r="C49" s="40"/>
      <c r="D49" s="40"/>
      <c r="E49" s="50"/>
      <c r="F49" s="50"/>
      <c r="G49" s="50"/>
      <c r="H49" s="50"/>
      <c r="I49" s="50"/>
      <c r="J49" s="50"/>
      <c r="K49" s="50"/>
      <c r="L49" s="50"/>
      <c r="M49" s="50"/>
    </row>
    <row r="50" spans="1:13">
      <c r="A50" s="42"/>
      <c r="B50" s="44"/>
      <c r="C50" s="40"/>
      <c r="D50" s="40"/>
      <c r="E50" s="50"/>
      <c r="F50" s="50"/>
      <c r="G50" s="50"/>
      <c r="H50" s="50"/>
      <c r="I50" s="50"/>
      <c r="J50" s="50"/>
      <c r="K50" s="50"/>
      <c r="L50" s="50"/>
      <c r="M50" s="50"/>
    </row>
    <row r="51" spans="1:13">
      <c r="A51" s="42"/>
      <c r="B51" s="44"/>
      <c r="C51" s="40"/>
      <c r="D51" s="40"/>
      <c r="E51" s="50"/>
      <c r="F51" s="50"/>
      <c r="G51" s="50"/>
      <c r="H51" s="50"/>
      <c r="I51" s="50"/>
      <c r="J51" s="50"/>
      <c r="K51" s="50"/>
      <c r="L51" s="50"/>
      <c r="M51" s="50"/>
    </row>
    <row r="52" spans="1:13">
      <c r="A52" s="42"/>
      <c r="B52" s="44"/>
      <c r="C52" s="40"/>
      <c r="D52" s="40"/>
      <c r="E52" s="50"/>
      <c r="F52" s="50"/>
      <c r="G52" s="50"/>
      <c r="H52" s="50"/>
      <c r="I52" s="50"/>
      <c r="J52" s="50"/>
      <c r="K52" s="50"/>
      <c r="L52" s="50"/>
      <c r="M52" s="50"/>
    </row>
    <row r="53" spans="1:13">
      <c r="A53" s="42"/>
      <c r="B53" s="44"/>
      <c r="C53" s="40"/>
      <c r="D53" s="40"/>
      <c r="E53" s="50"/>
      <c r="F53" s="50"/>
      <c r="G53" s="50"/>
      <c r="H53" s="50"/>
      <c r="I53" s="50"/>
      <c r="J53" s="50"/>
      <c r="K53" s="50"/>
      <c r="L53" s="50"/>
      <c r="M53" s="50"/>
    </row>
    <row r="54" spans="1:13">
      <c r="A54" s="42"/>
      <c r="B54" s="44"/>
      <c r="C54" s="40"/>
      <c r="D54" s="40"/>
      <c r="E54" s="50"/>
      <c r="F54" s="50"/>
      <c r="G54" s="50"/>
      <c r="H54" s="50"/>
      <c r="I54" s="50"/>
      <c r="J54" s="50"/>
      <c r="K54" s="50"/>
      <c r="L54" s="50"/>
      <c r="M54" s="50"/>
    </row>
    <row r="55" spans="1:13">
      <c r="A55" s="42"/>
      <c r="B55" s="44"/>
      <c r="C55" s="40"/>
      <c r="D55" s="40"/>
      <c r="E55" s="50"/>
      <c r="F55" s="50"/>
      <c r="G55" s="50"/>
      <c r="H55" s="50"/>
      <c r="I55" s="50"/>
      <c r="J55" s="50"/>
      <c r="K55" s="50"/>
      <c r="L55" s="50"/>
      <c r="M55" s="50"/>
    </row>
    <row r="56" spans="1:13">
      <c r="A56" s="42"/>
      <c r="B56" s="44"/>
      <c r="C56" s="40"/>
      <c r="D56" s="40"/>
      <c r="E56" s="50"/>
      <c r="F56" s="50"/>
      <c r="G56" s="50"/>
      <c r="H56" s="50"/>
      <c r="I56" s="50"/>
      <c r="J56" s="50"/>
      <c r="K56" s="50"/>
      <c r="L56" s="50"/>
      <c r="M56" s="50"/>
    </row>
    <row r="57" spans="1:13" ht="15.75" thickBot="1">
      <c r="A57" s="45"/>
      <c r="B57" s="46"/>
      <c r="C57" s="46"/>
      <c r="D57" s="46"/>
      <c r="E57" s="48"/>
      <c r="F57" s="48"/>
      <c r="G57" s="48"/>
      <c r="H57" s="48"/>
      <c r="I57" s="48"/>
      <c r="J57" s="48"/>
      <c r="K57" s="48"/>
      <c r="L57" s="48"/>
      <c r="M57" s="48"/>
    </row>
    <row r="58" spans="1:13" ht="21.75" customHeight="1" thickBot="1">
      <c r="A58" s="55" t="s">
        <v>4</v>
      </c>
      <c r="B58" s="56"/>
      <c r="C58" s="57">
        <f>SUM(C40:C42)</f>
        <v>116990.42</v>
      </c>
      <c r="D58" s="57"/>
      <c r="E58" s="58">
        <f t="shared" ref="E58:L58" si="4">SUM(E40:E56)</f>
        <v>0</v>
      </c>
      <c r="F58" s="58"/>
      <c r="G58" s="58"/>
      <c r="H58" s="58">
        <f t="shared" si="4"/>
        <v>39900</v>
      </c>
      <c r="I58" s="58">
        <f t="shared" si="4"/>
        <v>14840.42</v>
      </c>
      <c r="J58" s="58">
        <f t="shared" si="4"/>
        <v>62250</v>
      </c>
      <c r="K58" s="58">
        <f t="shared" si="4"/>
        <v>0</v>
      </c>
      <c r="L58" s="58">
        <f t="shared" si="4"/>
        <v>0</v>
      </c>
      <c r="M58" s="58">
        <f t="shared" ref="M58" si="5">SUM(M40:M56)</f>
        <v>0</v>
      </c>
    </row>
    <row r="59" spans="1:13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</row>
    <row r="60" spans="1:13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</row>
    <row r="61" spans="1:13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</row>
    <row r="62" spans="1:13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</row>
    <row r="63" spans="1:13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</row>
    <row r="64" spans="1:13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</row>
    <row r="65" spans="1:14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</row>
    <row r="66" spans="1:14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</row>
    <row r="67" spans="1:14" ht="15.75">
      <c r="A67" s="249" t="s">
        <v>11</v>
      </c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</row>
    <row r="68" spans="1:14" ht="15.75">
      <c r="A68" s="249" t="s">
        <v>6</v>
      </c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</row>
    <row r="69" spans="1:14" ht="19.5" thickBot="1">
      <c r="A69" s="241" t="s">
        <v>99</v>
      </c>
      <c r="B69" s="241"/>
      <c r="C69" s="241"/>
      <c r="D69" s="241"/>
      <c r="E69" s="241"/>
      <c r="F69" s="241"/>
      <c r="G69" s="241"/>
      <c r="H69" s="241"/>
      <c r="I69" s="241"/>
      <c r="J69" s="241"/>
      <c r="K69" s="241"/>
      <c r="L69" s="241"/>
      <c r="M69" s="241"/>
      <c r="N69" s="241"/>
    </row>
    <row r="70" spans="1:14">
      <c r="A70" s="161" t="s">
        <v>1</v>
      </c>
      <c r="B70" s="170" t="s">
        <v>2</v>
      </c>
      <c r="C70" s="170" t="s">
        <v>4</v>
      </c>
      <c r="D70" s="162"/>
      <c r="E70" s="174" t="s">
        <v>12</v>
      </c>
      <c r="F70" s="177" t="s">
        <v>17</v>
      </c>
      <c r="G70" s="174" t="s">
        <v>82</v>
      </c>
      <c r="H70" s="177" t="s">
        <v>56</v>
      </c>
      <c r="I70" s="108" t="s">
        <v>13</v>
      </c>
      <c r="J70" s="177" t="s">
        <v>14</v>
      </c>
      <c r="K70" s="108" t="s">
        <v>16</v>
      </c>
      <c r="L70" s="177" t="s">
        <v>67</v>
      </c>
      <c r="M70" s="181" t="s">
        <v>73</v>
      </c>
    </row>
    <row r="71" spans="1:14" ht="15.75" thickBot="1">
      <c r="A71" s="164"/>
      <c r="B71" s="171"/>
      <c r="C71" s="172"/>
      <c r="D71" s="165"/>
      <c r="E71" s="178"/>
      <c r="F71" s="179"/>
      <c r="G71" s="176" t="s">
        <v>86</v>
      </c>
      <c r="H71" s="180" t="s">
        <v>57</v>
      </c>
      <c r="I71" s="178"/>
      <c r="J71" s="180" t="s">
        <v>15</v>
      </c>
      <c r="K71" s="178"/>
      <c r="L71" s="179"/>
      <c r="M71" s="182" t="s">
        <v>74</v>
      </c>
    </row>
    <row r="72" spans="1:14">
      <c r="A72" s="18"/>
      <c r="B72" s="19"/>
      <c r="C72" s="19"/>
      <c r="D72" s="19"/>
      <c r="E72" s="30"/>
      <c r="F72" s="30"/>
      <c r="G72" s="30"/>
      <c r="H72" s="30"/>
      <c r="I72" s="30"/>
      <c r="J72" s="30"/>
      <c r="K72" s="30"/>
      <c r="L72" s="30"/>
      <c r="M72" s="160"/>
    </row>
    <row r="73" spans="1:14">
      <c r="A73" s="42" t="s">
        <v>64</v>
      </c>
      <c r="B73" s="44">
        <v>223</v>
      </c>
      <c r="C73" s="40">
        <f>+C7-C40</f>
        <v>-2150</v>
      </c>
      <c r="D73" s="40"/>
      <c r="E73" s="50">
        <f>+E7-E40</f>
        <v>0</v>
      </c>
      <c r="F73" s="50"/>
      <c r="G73" s="50"/>
      <c r="H73" s="50">
        <f t="shared" ref="H73:M75" si="6">+H7-H40</f>
        <v>-39900</v>
      </c>
      <c r="I73" s="50">
        <f t="shared" si="6"/>
        <v>0</v>
      </c>
      <c r="J73" s="50">
        <f t="shared" si="6"/>
        <v>-12250</v>
      </c>
      <c r="K73" s="50">
        <f t="shared" si="6"/>
        <v>0</v>
      </c>
      <c r="L73" s="50">
        <f t="shared" si="6"/>
        <v>50000</v>
      </c>
      <c r="M73" s="52">
        <f t="shared" si="6"/>
        <v>0</v>
      </c>
    </row>
    <row r="74" spans="1:14">
      <c r="A74" s="42" t="s">
        <v>65</v>
      </c>
      <c r="B74" s="44">
        <v>222</v>
      </c>
      <c r="C74" s="40">
        <f>+C8-C41</f>
        <v>0</v>
      </c>
      <c r="D74" s="40"/>
      <c r="E74" s="50">
        <f>+E8-E41</f>
        <v>0</v>
      </c>
      <c r="F74" s="50"/>
      <c r="G74" s="50"/>
      <c r="H74" s="50">
        <f t="shared" si="6"/>
        <v>0</v>
      </c>
      <c r="I74" s="50">
        <f t="shared" si="6"/>
        <v>0</v>
      </c>
      <c r="J74" s="50">
        <f t="shared" si="6"/>
        <v>0</v>
      </c>
      <c r="K74" s="50">
        <f t="shared" si="6"/>
        <v>0</v>
      </c>
      <c r="L74" s="50">
        <f t="shared" si="6"/>
        <v>0</v>
      </c>
      <c r="M74" s="52">
        <f t="shared" si="6"/>
        <v>0</v>
      </c>
    </row>
    <row r="75" spans="1:14">
      <c r="A75" s="42" t="s">
        <v>66</v>
      </c>
      <c r="B75" s="44">
        <v>226</v>
      </c>
      <c r="C75" s="40">
        <f>+C9-C42</f>
        <v>85159.58</v>
      </c>
      <c r="D75" s="40"/>
      <c r="E75" s="50">
        <f>+E9-E42</f>
        <v>0</v>
      </c>
      <c r="F75" s="50"/>
      <c r="G75" s="50"/>
      <c r="H75" s="50">
        <f t="shared" si="6"/>
        <v>0</v>
      </c>
      <c r="I75" s="50">
        <f t="shared" si="6"/>
        <v>-14840.42</v>
      </c>
      <c r="J75" s="50">
        <f t="shared" si="6"/>
        <v>0</v>
      </c>
      <c r="K75" s="50">
        <f t="shared" si="6"/>
        <v>0</v>
      </c>
      <c r="L75" s="50">
        <f t="shared" si="6"/>
        <v>100000</v>
      </c>
      <c r="M75" s="52">
        <f t="shared" si="6"/>
        <v>0</v>
      </c>
    </row>
    <row r="76" spans="1:14">
      <c r="A76" s="42"/>
      <c r="B76" s="44"/>
      <c r="C76" s="40"/>
      <c r="D76" s="40"/>
      <c r="E76" s="50"/>
      <c r="F76" s="50"/>
      <c r="G76" s="50"/>
      <c r="H76" s="50"/>
      <c r="I76" s="50"/>
      <c r="J76" s="50"/>
      <c r="K76" s="50"/>
      <c r="L76" s="50"/>
      <c r="M76" s="52"/>
    </row>
    <row r="77" spans="1:14">
      <c r="A77" s="42"/>
      <c r="B77" s="44"/>
      <c r="C77" s="40"/>
      <c r="D77" s="40"/>
      <c r="E77" s="50"/>
      <c r="F77" s="50"/>
      <c r="G77" s="50"/>
      <c r="H77" s="50"/>
      <c r="I77" s="50"/>
      <c r="J77" s="50"/>
      <c r="K77" s="50"/>
      <c r="L77" s="50"/>
      <c r="M77" s="52"/>
    </row>
    <row r="78" spans="1:14">
      <c r="A78" s="42"/>
      <c r="B78" s="44"/>
      <c r="C78" s="40"/>
      <c r="D78" s="40"/>
      <c r="E78" s="50"/>
      <c r="F78" s="50"/>
      <c r="G78" s="50"/>
      <c r="H78" s="50"/>
      <c r="I78" s="50"/>
      <c r="J78" s="50"/>
      <c r="K78" s="50"/>
      <c r="L78" s="50"/>
      <c r="M78" s="52"/>
    </row>
    <row r="79" spans="1:14">
      <c r="A79" s="42"/>
      <c r="B79" s="44"/>
      <c r="C79" s="40"/>
      <c r="D79" s="40"/>
      <c r="E79" s="50"/>
      <c r="F79" s="50"/>
      <c r="G79" s="50"/>
      <c r="H79" s="50"/>
      <c r="I79" s="50"/>
      <c r="J79" s="50"/>
      <c r="K79" s="50"/>
      <c r="L79" s="50"/>
      <c r="M79" s="52"/>
    </row>
    <row r="80" spans="1:14">
      <c r="A80" s="42"/>
      <c r="B80" s="44"/>
      <c r="C80" s="40"/>
      <c r="D80" s="40"/>
      <c r="E80" s="50"/>
      <c r="F80" s="50"/>
      <c r="G80" s="50"/>
      <c r="H80" s="50"/>
      <c r="I80" s="50"/>
      <c r="J80" s="50"/>
      <c r="K80" s="50"/>
      <c r="L80" s="50"/>
      <c r="M80" s="52"/>
    </row>
    <row r="81" spans="1:13">
      <c r="A81" s="42"/>
      <c r="B81" s="44"/>
      <c r="C81" s="40"/>
      <c r="D81" s="40"/>
      <c r="E81" s="50"/>
      <c r="F81" s="50"/>
      <c r="G81" s="50"/>
      <c r="H81" s="50"/>
      <c r="I81" s="50"/>
      <c r="J81" s="50"/>
      <c r="K81" s="50"/>
      <c r="L81" s="50"/>
      <c r="M81" s="52"/>
    </row>
    <row r="82" spans="1:13">
      <c r="A82" s="42"/>
      <c r="B82" s="44"/>
      <c r="C82" s="40"/>
      <c r="D82" s="40"/>
      <c r="E82" s="50"/>
      <c r="F82" s="50"/>
      <c r="G82" s="50"/>
      <c r="H82" s="50"/>
      <c r="I82" s="50"/>
      <c r="J82" s="50"/>
      <c r="K82" s="50"/>
      <c r="L82" s="50"/>
      <c r="M82" s="52"/>
    </row>
    <row r="83" spans="1:13">
      <c r="A83" s="42"/>
      <c r="B83" s="44"/>
      <c r="C83" s="40"/>
      <c r="D83" s="40"/>
      <c r="E83" s="50"/>
      <c r="F83" s="50"/>
      <c r="G83" s="50"/>
      <c r="H83" s="50"/>
      <c r="I83" s="50"/>
      <c r="J83" s="50"/>
      <c r="K83" s="50"/>
      <c r="L83" s="50"/>
      <c r="M83" s="52"/>
    </row>
    <row r="84" spans="1:13">
      <c r="A84" s="42"/>
      <c r="B84" s="44"/>
      <c r="C84" s="40"/>
      <c r="D84" s="40"/>
      <c r="E84" s="50"/>
      <c r="F84" s="50"/>
      <c r="G84" s="50"/>
      <c r="H84" s="50"/>
      <c r="I84" s="50"/>
      <c r="J84" s="50"/>
      <c r="K84" s="50"/>
      <c r="L84" s="50"/>
      <c r="M84" s="52"/>
    </row>
    <row r="85" spans="1:13">
      <c r="A85" s="42"/>
      <c r="B85" s="44"/>
      <c r="C85" s="40"/>
      <c r="D85" s="40"/>
      <c r="E85" s="50"/>
      <c r="F85" s="50"/>
      <c r="G85" s="50"/>
      <c r="H85" s="50"/>
      <c r="I85" s="50"/>
      <c r="J85" s="50"/>
      <c r="K85" s="50"/>
      <c r="L85" s="50"/>
      <c r="M85" s="52"/>
    </row>
    <row r="86" spans="1:13">
      <c r="A86" s="42"/>
      <c r="B86" s="44"/>
      <c r="C86" s="40"/>
      <c r="D86" s="40"/>
      <c r="E86" s="50"/>
      <c r="F86" s="50"/>
      <c r="G86" s="50"/>
      <c r="H86" s="50"/>
      <c r="I86" s="50"/>
      <c r="J86" s="50"/>
      <c r="K86" s="50"/>
      <c r="L86" s="50"/>
      <c r="M86" s="52"/>
    </row>
    <row r="87" spans="1:13" ht="15.75" thickBot="1">
      <c r="A87" s="145"/>
      <c r="B87" s="146"/>
      <c r="C87" s="146"/>
      <c r="D87" s="146"/>
      <c r="E87" s="147"/>
      <c r="F87" s="147"/>
      <c r="G87" s="147"/>
      <c r="H87" s="147"/>
      <c r="I87" s="147"/>
      <c r="J87" s="147"/>
      <c r="K87" s="147"/>
      <c r="L87" s="147"/>
      <c r="M87" s="148"/>
    </row>
    <row r="88" spans="1:13" ht="21" customHeight="1" thickBot="1">
      <c r="A88" s="149" t="s">
        <v>4</v>
      </c>
      <c r="B88" s="150"/>
      <c r="C88" s="154">
        <f>SUM(C73:C87)</f>
        <v>83009.58</v>
      </c>
      <c r="D88" s="154"/>
      <c r="E88" s="155">
        <f t="shared" ref="E88:L88" si="7">SUM(E73:E86)</f>
        <v>0</v>
      </c>
      <c r="F88" s="155"/>
      <c r="G88" s="155"/>
      <c r="H88" s="155">
        <f t="shared" si="7"/>
        <v>-39900</v>
      </c>
      <c r="I88" s="155">
        <f t="shared" si="7"/>
        <v>-14840.42</v>
      </c>
      <c r="J88" s="155">
        <f t="shared" si="7"/>
        <v>-12250</v>
      </c>
      <c r="K88" s="155">
        <f t="shared" si="7"/>
        <v>0</v>
      </c>
      <c r="L88" s="155">
        <f t="shared" si="7"/>
        <v>150000</v>
      </c>
      <c r="M88" s="156">
        <f t="shared" ref="M88" si="8">SUM(M73:M86)</f>
        <v>0</v>
      </c>
    </row>
    <row r="89" spans="1:13" ht="15.75">
      <c r="A89" s="184" t="s">
        <v>89</v>
      </c>
      <c r="B89" s="142"/>
      <c r="C89" s="143"/>
      <c r="D89" s="143"/>
      <c r="E89" s="144"/>
      <c r="F89" s="144"/>
      <c r="G89" s="144"/>
      <c r="H89" s="144"/>
      <c r="I89" s="144"/>
      <c r="J89" s="144"/>
      <c r="K89" s="144"/>
      <c r="L89" s="144"/>
      <c r="M89" s="23"/>
    </row>
    <row r="90" spans="1:13">
      <c r="A90" s="53" t="s">
        <v>59</v>
      </c>
      <c r="B90" s="54"/>
      <c r="C90" s="54"/>
      <c r="D90" s="54"/>
      <c r="E90" s="54" t="s">
        <v>90</v>
      </c>
      <c r="F90" s="54"/>
      <c r="G90" s="54"/>
      <c r="H90" s="54"/>
      <c r="I90" s="54"/>
      <c r="J90" s="54"/>
      <c r="K90" s="54" t="s">
        <v>10</v>
      </c>
      <c r="L90" s="66"/>
      <c r="M90" s="23"/>
    </row>
    <row r="91" spans="1:13">
      <c r="A91" s="24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3"/>
    </row>
    <row r="92" spans="1:13">
      <c r="A92" s="24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3"/>
    </row>
    <row r="93" spans="1:13">
      <c r="A93" s="24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3"/>
    </row>
    <row r="94" spans="1:13" ht="15.75">
      <c r="A94" s="59" t="s">
        <v>8</v>
      </c>
      <c r="B94" s="60"/>
      <c r="C94" s="61"/>
      <c r="D94" s="61"/>
      <c r="E94" s="61" t="s">
        <v>18</v>
      </c>
      <c r="F94" s="61"/>
      <c r="G94" s="61"/>
      <c r="H94" s="61"/>
      <c r="I94" s="61"/>
      <c r="J94" s="61"/>
      <c r="K94" s="61" t="s">
        <v>78</v>
      </c>
      <c r="L94" s="61"/>
      <c r="M94" s="23"/>
    </row>
    <row r="95" spans="1:13" ht="15.75">
      <c r="A95" s="68" t="s">
        <v>9</v>
      </c>
      <c r="B95" s="60"/>
      <c r="C95" s="60"/>
      <c r="D95" s="60"/>
      <c r="E95" s="60" t="s">
        <v>58</v>
      </c>
      <c r="F95" s="60"/>
      <c r="G95" s="60"/>
      <c r="H95" s="60"/>
      <c r="I95" s="60"/>
      <c r="J95" s="60"/>
      <c r="K95" s="60" t="s">
        <v>79</v>
      </c>
      <c r="L95" s="60"/>
      <c r="M95" s="23"/>
    </row>
    <row r="96" spans="1:13" ht="16.5" thickBot="1">
      <c r="A96" s="250" t="s">
        <v>68</v>
      </c>
      <c r="B96" s="251"/>
      <c r="C96" s="62"/>
      <c r="D96" s="62"/>
      <c r="E96" s="251" t="s">
        <v>88</v>
      </c>
      <c r="F96" s="251"/>
      <c r="G96" s="251"/>
      <c r="H96" s="62"/>
      <c r="I96" s="62"/>
      <c r="J96" s="62"/>
      <c r="K96" s="62"/>
      <c r="L96" s="62"/>
      <c r="M96" s="67"/>
    </row>
  </sheetData>
  <mergeCells count="12">
    <mergeCell ref="A96:B96"/>
    <mergeCell ref="E96:G96"/>
    <mergeCell ref="A35:M35"/>
    <mergeCell ref="A1:M1"/>
    <mergeCell ref="A2:M2"/>
    <mergeCell ref="A3:M3"/>
    <mergeCell ref="A34:M34"/>
    <mergeCell ref="A67:M67"/>
    <mergeCell ref="A68:M68"/>
    <mergeCell ref="A4:N4"/>
    <mergeCell ref="A36:N36"/>
    <mergeCell ref="A69:N69"/>
  </mergeCells>
  <pageMargins left="0.7" right="0.41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veron</cp:lastModifiedBy>
  <cp:lastPrinted>2013-12-10T22:55:32Z</cp:lastPrinted>
  <dcterms:created xsi:type="dcterms:W3CDTF">2011-03-04T02:00:56Z</dcterms:created>
  <dcterms:modified xsi:type="dcterms:W3CDTF">2014-01-09T19:05:08Z</dcterms:modified>
</cp:coreProperties>
</file>